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https://afonline.sharepoint.com/sites/Utajrvenkiertotaloudenksikirjajapstlaskenta-AFRY/Shared Documents/AFRY/06_Työkansio/Laskuri/"/>
    </mc:Choice>
  </mc:AlternateContent>
  <xr:revisionPtr revIDLastSave="914" documentId="8_{D638AA92-EAE0-4277-A0E0-0BB33C08C7FE}" xr6:coauthVersionLast="47" xr6:coauthVersionMax="47" xr10:uidLastSave="{B421C195-2BAA-459F-A94B-888E0F7E8B43}"/>
  <workbookProtection workbookAlgorithmName="SHA-512" workbookHashValue="dIcinaS5h4WzhydjhUCw36YqaVJ1kT3wNtYIbhmoKzFgtUCaihvyPXLmgEK9dHd0PMarm45rQLgrMd2nWIjNYg==" workbookSaltValue="akQyM4M9/+wYQ5yzOGJ3Nw==" workbookSpinCount="100000" lockStructure="1"/>
  <bookViews>
    <workbookView xWindow="28680" yWindow="-120" windowWidth="29040" windowHeight="17640" xr2:uid="{1585657A-6DA0-4C79-922A-22F387F7744E}"/>
  </bookViews>
  <sheets>
    <sheet name="Info-sivu" sheetId="4" r:id="rId1"/>
    <sheet name="Laskentasivu" sheetId="1" r:id="rId2"/>
    <sheet name="Tulokset" sheetId="3" r:id="rId3"/>
    <sheet name="Päästökertoimet" sheetId="2" r:id="rId4"/>
    <sheet name="Kustannukset" sheetId="6" r:id="rId5"/>
    <sheet name="Aputaulukko"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G10" i="2" l="1"/>
  <c r="M142" i="1" l="1" a="1"/>
  <c r="M142" i="1" s="1"/>
  <c r="O158" i="1" a="1"/>
  <c r="O158" i="1" s="1"/>
  <c r="N55" i="1" a="1"/>
  <c r="N55" i="1" s="1"/>
  <c r="AG130" i="1" a="1"/>
  <c r="AG130" i="1" s="1"/>
  <c r="N21" i="2"/>
  <c r="N20" i="2"/>
  <c r="N15" i="2"/>
  <c r="N14" i="2"/>
  <c r="X24" i="2"/>
  <c r="V23" i="2"/>
  <c r="V21" i="2"/>
  <c r="V22" i="2"/>
  <c r="V20" i="2"/>
  <c r="V17" i="2"/>
  <c r="V18" i="2"/>
  <c r="V19" i="2"/>
  <c r="V7" i="2"/>
  <c r="V8" i="2"/>
  <c r="V9" i="2"/>
  <c r="V10" i="2"/>
  <c r="V11" i="2"/>
  <c r="V12" i="2"/>
  <c r="V13" i="2"/>
  <c r="V14" i="2"/>
  <c r="V15" i="2"/>
  <c r="V16" i="2"/>
  <c r="V6" i="2"/>
  <c r="T7" i="2" l="1"/>
  <c r="T11" i="2"/>
  <c r="T38" i="2"/>
  <c r="N83" i="1" a="1"/>
  <c r="N83" i="1" s="1"/>
  <c r="N77" i="1" a="1"/>
  <c r="N77" i="1" s="1"/>
  <c r="AG120" i="1" l="1" a="1"/>
  <c r="AG120" i="1" s="1"/>
  <c r="AG134" i="1" a="1"/>
  <c r="AG134" i="1" s="1"/>
  <c r="AG103" i="1" a="1"/>
  <c r="AG103" i="1" s="1"/>
  <c r="AG104" i="1" a="1"/>
  <c r="AG104" i="1"/>
  <c r="AG105" i="1" a="1"/>
  <c r="AG105" i="1"/>
  <c r="AG106" i="1" a="1"/>
  <c r="AG106" i="1"/>
  <c r="AG107" i="1" a="1"/>
  <c r="AG107" i="1" s="1"/>
  <c r="AG108" i="1" a="1"/>
  <c r="AG108" i="1"/>
  <c r="AG109" i="1" a="1"/>
  <c r="AG109" i="1"/>
  <c r="AG110" i="1" a="1"/>
  <c r="AG110" i="1"/>
  <c r="AG111" i="1" a="1"/>
  <c r="AG111" i="1" s="1"/>
  <c r="AG112" i="1" a="1"/>
  <c r="AG112" i="1"/>
  <c r="AG113" i="1" a="1"/>
  <c r="AG113" i="1"/>
  <c r="AG114" i="1" a="1"/>
  <c r="AG114" i="1"/>
  <c r="AG115" i="1" a="1"/>
  <c r="AG115" i="1" s="1"/>
  <c r="AG116" i="1" a="1"/>
  <c r="AG116" i="1"/>
  <c r="AG117" i="1" a="1"/>
  <c r="AG117" i="1"/>
  <c r="AG119" i="1" a="1"/>
  <c r="AG119" i="1" s="1"/>
  <c r="AG121" i="1" a="1"/>
  <c r="AG121" i="1" s="1"/>
  <c r="AG122" i="1" a="1"/>
  <c r="AG122" i="1"/>
  <c r="AG123" i="1" a="1"/>
  <c r="AG123" i="1" s="1"/>
  <c r="AG124" i="1" a="1"/>
  <c r="AG124" i="1"/>
  <c r="AG125" i="1" a="1"/>
  <c r="AG125" i="1" s="1"/>
  <c r="AG126" i="1" a="1"/>
  <c r="AG126" i="1"/>
  <c r="AG127" i="1" a="1"/>
  <c r="AG127" i="1" s="1"/>
  <c r="AG128" i="1" a="1"/>
  <c r="AG128" i="1"/>
  <c r="AG129" i="1" a="1"/>
  <c r="AG129" i="1" s="1"/>
  <c r="AG131" i="1" a="1"/>
  <c r="AG131" i="1" s="1"/>
  <c r="AG132" i="1" a="1"/>
  <c r="AG132" i="1"/>
  <c r="AG133" i="1" a="1"/>
  <c r="AG133" i="1" s="1"/>
  <c r="AG102" i="1" a="1"/>
  <c r="AG102" i="1" s="1"/>
  <c r="AG37" i="1" a="1"/>
  <c r="AG37" i="1" s="1"/>
  <c r="AG7" i="1" a="1"/>
  <c r="AG7" i="1" s="1"/>
  <c r="AG8" i="1" a="1"/>
  <c r="AG8" i="1" s="1"/>
  <c r="AG9" i="1" a="1"/>
  <c r="AG9" i="1"/>
  <c r="AG10" i="1" a="1"/>
  <c r="AG10" i="1"/>
  <c r="AG11" i="1" a="1"/>
  <c r="AG11" i="1" s="1"/>
  <c r="AG13" i="1" a="1"/>
  <c r="AG13" i="1"/>
  <c r="AG14" i="1" a="1"/>
  <c r="AG14" i="1"/>
  <c r="AG15" i="1" a="1"/>
  <c r="AG15" i="1" s="1"/>
  <c r="AG16" i="1" a="1"/>
  <c r="AG16" i="1" s="1"/>
  <c r="AG17" i="1" a="1"/>
  <c r="AG17" i="1" s="1"/>
  <c r="AG18" i="1" a="1"/>
  <c r="AG18" i="1"/>
  <c r="AG19" i="1" a="1"/>
  <c r="AG19" i="1" s="1"/>
  <c r="AG20" i="1" a="1"/>
  <c r="AG20" i="1" s="1"/>
  <c r="AG21" i="1" a="1"/>
  <c r="AG21" i="1"/>
  <c r="AG24" i="1" a="1"/>
  <c r="AG24" i="1" s="1"/>
  <c r="AG26" i="1" a="1"/>
  <c r="AG26" i="1"/>
  <c r="AG27" i="1" a="1"/>
  <c r="AG27" i="1" s="1"/>
  <c r="AG28" i="1" a="1"/>
  <c r="AG28" i="1" s="1"/>
  <c r="AG29" i="1" a="1"/>
  <c r="AG29" i="1" s="1"/>
  <c r="AG30" i="1" a="1"/>
  <c r="AG30" i="1" s="1"/>
  <c r="AG31" i="1" a="1"/>
  <c r="AG31" i="1" s="1"/>
  <c r="AG32" i="1" a="1"/>
  <c r="AG32" i="1" s="1"/>
  <c r="AG33" i="1" a="1"/>
  <c r="AG33" i="1" s="1"/>
  <c r="AG34" i="1" a="1"/>
  <c r="AG34" i="1" s="1"/>
  <c r="AG35" i="1" a="1"/>
  <c r="AG35" i="1" s="1"/>
  <c r="AG36" i="1" a="1"/>
  <c r="AG36" i="1" s="1"/>
  <c r="AG38" i="1" a="1"/>
  <c r="AG38" i="1" s="1"/>
  <c r="G63" i="6"/>
  <c r="G64" i="6"/>
  <c r="G65" i="6"/>
  <c r="G66" i="6"/>
  <c r="G68" i="6"/>
  <c r="G69" i="6"/>
  <c r="G70" i="6"/>
  <c r="G62" i="6"/>
  <c r="G43" i="6"/>
  <c r="G36" i="6"/>
  <c r="G37" i="6"/>
  <c r="G38" i="6"/>
  <c r="G39" i="6"/>
  <c r="G40" i="6"/>
  <c r="G41" i="6"/>
  <c r="G42" i="6"/>
  <c r="G35" i="6"/>
  <c r="B63" i="6"/>
  <c r="B64" i="6"/>
  <c r="B65" i="6"/>
  <c r="B66" i="6"/>
  <c r="B68" i="6"/>
  <c r="B69" i="6"/>
  <c r="B70" i="6"/>
  <c r="B62" i="6"/>
  <c r="B36" i="6"/>
  <c r="B37" i="6"/>
  <c r="B38" i="6"/>
  <c r="B39" i="6"/>
  <c r="B40" i="6"/>
  <c r="B41" i="6"/>
  <c r="B42" i="6"/>
  <c r="B43" i="6"/>
  <c r="B35" i="6"/>
  <c r="N23" i="2"/>
  <c r="N10" i="5" a="1"/>
  <c r="N10" i="5" s="1"/>
  <c r="P10" i="5" a="1"/>
  <c r="P10" i="5" s="1"/>
  <c r="D114" i="5"/>
  <c r="D113" i="5"/>
  <c r="D116" i="5" s="1"/>
  <c r="C60" i="6" s="1"/>
  <c r="C61" i="6" s="1"/>
  <c r="L107" i="5"/>
  <c r="L106" i="5"/>
  <c r="I107" i="5"/>
  <c r="I106" i="5"/>
  <c r="D107" i="5"/>
  <c r="D106" i="5"/>
  <c r="N100" i="5"/>
  <c r="N99" i="5"/>
  <c r="G100" i="5"/>
  <c r="G99" i="5"/>
  <c r="D100" i="5"/>
  <c r="D84" i="5"/>
  <c r="D99" i="5"/>
  <c r="G54" i="6"/>
  <c r="G55" i="6"/>
  <c r="G56" i="6"/>
  <c r="G57" i="6"/>
  <c r="G59" i="6"/>
  <c r="G60" i="6"/>
  <c r="G61" i="6"/>
  <c r="L109" i="5" l="1"/>
  <c r="C59" i="6" s="1"/>
  <c r="E59" i="6" s="1"/>
  <c r="D109" i="5"/>
  <c r="C57" i="6" s="1"/>
  <c r="E57" i="6" s="1"/>
  <c r="E61" i="6"/>
  <c r="E60" i="6"/>
  <c r="D102" i="5"/>
  <c r="C54" i="6" s="1"/>
  <c r="E54" i="6" s="1"/>
  <c r="I109" i="5"/>
  <c r="C58" i="6" s="1"/>
  <c r="G102" i="5"/>
  <c r="C55" i="6" s="1"/>
  <c r="E55" i="6" s="1"/>
  <c r="N102" i="5"/>
  <c r="C56" i="6" s="1"/>
  <c r="E56" i="6" s="1"/>
  <c r="O159" i="1" a="1"/>
  <c r="O159" i="1" s="1"/>
  <c r="M139" i="1" a="1"/>
  <c r="M139" i="1" s="1"/>
  <c r="M140" i="1" a="1"/>
  <c r="M140" i="1" s="1"/>
  <c r="M141" i="1" a="1"/>
  <c r="M141" i="1" s="1"/>
  <c r="M143" i="1" a="1"/>
  <c r="M143" i="1" s="1"/>
  <c r="M144" i="1" a="1"/>
  <c r="M144" i="1" s="1"/>
  <c r="M138" i="1" a="1"/>
  <c r="M138" i="1" s="1"/>
  <c r="M43" i="1" a="1"/>
  <c r="M43" i="1" s="1"/>
  <c r="M46" i="6" l="1"/>
  <c r="K46" i="6" s="1"/>
  <c r="M33" i="6"/>
  <c r="K33" i="6" s="1"/>
  <c r="M16" i="6"/>
  <c r="K16" i="6" s="1"/>
  <c r="M15" i="6"/>
  <c r="K15" i="6" s="1"/>
  <c r="E33" i="6"/>
  <c r="AB103" i="1"/>
  <c r="AB104" i="1"/>
  <c r="AB105" i="1"/>
  <c r="AB106" i="1"/>
  <c r="AB107" i="1"/>
  <c r="AB108" i="1"/>
  <c r="AB109" i="1"/>
  <c r="AB110" i="1"/>
  <c r="AB111" i="1"/>
  <c r="AB112" i="1"/>
  <c r="AB113" i="1"/>
  <c r="AB114" i="1"/>
  <c r="AB115" i="1"/>
  <c r="AB116" i="1"/>
  <c r="AB117" i="1"/>
  <c r="AB119" i="1"/>
  <c r="AB120" i="1"/>
  <c r="AB121" i="1"/>
  <c r="AB122" i="1"/>
  <c r="AB123" i="1"/>
  <c r="AB124" i="1"/>
  <c r="AB125" i="1"/>
  <c r="AB126" i="1"/>
  <c r="AB127" i="1"/>
  <c r="AB128" i="1"/>
  <c r="AB129" i="1"/>
  <c r="AB130" i="1"/>
  <c r="AB131" i="1"/>
  <c r="AB132" i="1"/>
  <c r="AB133" i="1"/>
  <c r="AB134" i="1"/>
  <c r="AB102" i="1"/>
  <c r="AB7" i="1"/>
  <c r="AB8" i="1"/>
  <c r="AB9" i="1"/>
  <c r="AB10" i="1"/>
  <c r="AB11" i="1"/>
  <c r="AB12" i="1"/>
  <c r="AG12" i="1" s="1" a="1"/>
  <c r="AG12" i="1" s="1"/>
  <c r="AB13" i="1"/>
  <c r="AB14" i="1"/>
  <c r="AB15" i="1"/>
  <c r="AB16" i="1"/>
  <c r="AB17" i="1"/>
  <c r="AB18" i="1"/>
  <c r="AB19" i="1"/>
  <c r="AB20" i="1"/>
  <c r="AB21" i="1"/>
  <c r="AB23" i="1"/>
  <c r="AG23" i="1" s="1" a="1"/>
  <c r="AG23" i="1" s="1"/>
  <c r="AB24" i="1"/>
  <c r="AB25" i="1"/>
  <c r="AG25" i="1" s="1" a="1"/>
  <c r="AG25" i="1" s="1"/>
  <c r="AB26" i="1"/>
  <c r="AB27" i="1"/>
  <c r="AB28" i="1"/>
  <c r="AB29" i="1"/>
  <c r="AB30" i="1"/>
  <c r="AB31" i="1"/>
  <c r="AB32" i="1"/>
  <c r="AB33" i="1"/>
  <c r="AB34" i="1"/>
  <c r="AB35" i="1"/>
  <c r="AB36" i="1"/>
  <c r="AB37" i="1"/>
  <c r="AB38" i="1"/>
  <c r="AB6" i="1"/>
  <c r="AG6" i="1" s="1" a="1"/>
  <c r="AG6" i="1" s="1"/>
  <c r="V103" i="1" a="1"/>
  <c r="V103" i="1" s="1"/>
  <c r="U103" i="1" s="1" a="1"/>
  <c r="U103" i="1" s="1"/>
  <c r="M170" i="1" a="1"/>
  <c r="M170" i="1" s="1"/>
  <c r="O157" i="1" a="1"/>
  <c r="O157" i="1" s="1"/>
  <c r="M147" i="1" a="1"/>
  <c r="M147" i="1" s="1"/>
  <c r="O61" i="1" a="1"/>
  <c r="O61" i="1" s="1"/>
  <c r="M65" i="1" a="1"/>
  <c r="M65" i="1" s="1"/>
  <c r="M53" i="1" a="1"/>
  <c r="M53" i="1" s="1"/>
  <c r="M51" i="1" a="1"/>
  <c r="M51" i="1" s="1"/>
  <c r="O34" i="1" a="1"/>
  <c r="O34" i="1" s="1"/>
  <c r="N33" i="1" a="1"/>
  <c r="N33" i="1" s="1"/>
  <c r="M45" i="1" a="1"/>
  <c r="M45" i="1" s="1"/>
  <c r="O63" i="1" a="1"/>
  <c r="O63" i="1" s="1"/>
  <c r="O119" i="1" a="1"/>
  <c r="O119" i="1" s="1"/>
  <c r="O6" i="1" a="1"/>
  <c r="O6" i="1" s="1"/>
  <c r="O102" i="1" a="1"/>
  <c r="O102" i="1" s="1"/>
  <c r="V134" i="1" a="1"/>
  <c r="V134" i="1" s="1"/>
  <c r="U134" i="1" s="1" a="1"/>
  <c r="U134" i="1" s="1"/>
  <c r="T134" i="1"/>
  <c r="V133" i="1" a="1"/>
  <c r="V133" i="1" s="1"/>
  <c r="U133" i="1" s="1" a="1"/>
  <c r="U133" i="1" s="1"/>
  <c r="T133" i="1"/>
  <c r="V132" i="1" a="1"/>
  <c r="V132" i="1" s="1"/>
  <c r="U132" i="1" s="1" a="1"/>
  <c r="U132" i="1" s="1"/>
  <c r="T132" i="1"/>
  <c r="V131" i="1" a="1"/>
  <c r="V131" i="1" s="1"/>
  <c r="U131" i="1" s="1" a="1"/>
  <c r="U131" i="1" s="1"/>
  <c r="T131" i="1"/>
  <c r="V130" i="1" a="1"/>
  <c r="V130" i="1" s="1"/>
  <c r="U130" i="1" s="1" a="1"/>
  <c r="U130" i="1" s="1"/>
  <c r="T130" i="1"/>
  <c r="V129" i="1" a="1"/>
  <c r="V129" i="1" s="1"/>
  <c r="U129" i="1" s="1" a="1"/>
  <c r="U129" i="1" s="1"/>
  <c r="T129" i="1"/>
  <c r="V128" i="1" a="1"/>
  <c r="V128" i="1" s="1"/>
  <c r="U128" i="1" s="1" a="1"/>
  <c r="U128" i="1" s="1"/>
  <c r="T128" i="1"/>
  <c r="V127" i="1" a="1"/>
  <c r="V127" i="1" s="1"/>
  <c r="U127" i="1" s="1" a="1"/>
  <c r="U127" i="1" s="1"/>
  <c r="T127" i="1"/>
  <c r="V126" i="1" a="1"/>
  <c r="V126" i="1" s="1"/>
  <c r="U126" i="1" s="1" a="1"/>
  <c r="U126" i="1" s="1"/>
  <c r="T126" i="1"/>
  <c r="V125" i="1" a="1"/>
  <c r="V125" i="1" s="1"/>
  <c r="U125" i="1" s="1" a="1"/>
  <c r="U125" i="1" s="1"/>
  <c r="T125" i="1"/>
  <c r="V124" i="1" a="1"/>
  <c r="V124" i="1" s="1"/>
  <c r="U124" i="1" s="1" a="1"/>
  <c r="U124" i="1" s="1"/>
  <c r="T124" i="1"/>
  <c r="V123" i="1" a="1"/>
  <c r="V123" i="1" s="1"/>
  <c r="U123" i="1" s="1" a="1"/>
  <c r="U123" i="1" s="1"/>
  <c r="T123" i="1"/>
  <c r="V122" i="1" a="1"/>
  <c r="V122" i="1" s="1"/>
  <c r="U122" i="1" s="1" a="1"/>
  <c r="U122" i="1" s="1"/>
  <c r="T122" i="1"/>
  <c r="V121" i="1" a="1"/>
  <c r="V121" i="1" s="1"/>
  <c r="U121" i="1" s="1" a="1"/>
  <c r="U121" i="1" s="1"/>
  <c r="T121" i="1"/>
  <c r="V120" i="1" a="1"/>
  <c r="V120" i="1" s="1"/>
  <c r="U120" i="1" s="1" a="1"/>
  <c r="U120" i="1" s="1"/>
  <c r="T120" i="1"/>
  <c r="V119" i="1" a="1"/>
  <c r="V119" i="1" s="1"/>
  <c r="U119" i="1" s="1" a="1"/>
  <c r="U119" i="1" s="1"/>
  <c r="T119" i="1"/>
  <c r="V117" i="1" a="1"/>
  <c r="V117" i="1" s="1"/>
  <c r="U117" i="1" s="1" a="1"/>
  <c r="U117" i="1" s="1"/>
  <c r="T117" i="1"/>
  <c r="V116" i="1" a="1"/>
  <c r="V116" i="1" s="1"/>
  <c r="U116" i="1" s="1" a="1"/>
  <c r="U116" i="1" s="1"/>
  <c r="T116" i="1"/>
  <c r="V115" i="1" a="1"/>
  <c r="V115" i="1" s="1"/>
  <c r="U115" i="1" s="1" a="1"/>
  <c r="U115" i="1" s="1"/>
  <c r="T115" i="1"/>
  <c r="V114" i="1" a="1"/>
  <c r="V114" i="1" s="1"/>
  <c r="U114" i="1" s="1" a="1"/>
  <c r="U114" i="1" s="1"/>
  <c r="T114" i="1"/>
  <c r="V113" i="1" a="1"/>
  <c r="V113" i="1" s="1"/>
  <c r="U113" i="1" s="1" a="1"/>
  <c r="U113" i="1" s="1"/>
  <c r="T113" i="1"/>
  <c r="V112" i="1" a="1"/>
  <c r="V112" i="1" s="1"/>
  <c r="U112" i="1" s="1" a="1"/>
  <c r="U112" i="1" s="1"/>
  <c r="T112" i="1"/>
  <c r="V111" i="1" a="1"/>
  <c r="V111" i="1" s="1"/>
  <c r="U111" i="1" s="1" a="1"/>
  <c r="U111" i="1" s="1"/>
  <c r="T111" i="1"/>
  <c r="V110" i="1" a="1"/>
  <c r="V110" i="1" s="1"/>
  <c r="U110" i="1" s="1" a="1"/>
  <c r="U110" i="1" s="1"/>
  <c r="T110" i="1"/>
  <c r="V109" i="1" a="1"/>
  <c r="V109" i="1" s="1"/>
  <c r="U109" i="1" s="1" a="1"/>
  <c r="U109" i="1" s="1"/>
  <c r="T109" i="1"/>
  <c r="V108" i="1" a="1"/>
  <c r="V108" i="1" s="1"/>
  <c r="U108" i="1" s="1" a="1"/>
  <c r="U108" i="1" s="1"/>
  <c r="T108" i="1"/>
  <c r="V107" i="1" a="1"/>
  <c r="V107" i="1" s="1"/>
  <c r="U107" i="1" s="1" a="1"/>
  <c r="U107" i="1" s="1"/>
  <c r="T107" i="1"/>
  <c r="V106" i="1" a="1"/>
  <c r="V106" i="1" s="1"/>
  <c r="U106" i="1" s="1" a="1"/>
  <c r="U106" i="1" s="1"/>
  <c r="T106" i="1"/>
  <c r="V105" i="1" a="1"/>
  <c r="V105" i="1" s="1"/>
  <c r="U105" i="1" s="1" a="1"/>
  <c r="U105" i="1" s="1"/>
  <c r="T105" i="1"/>
  <c r="V104" i="1" a="1"/>
  <c r="V104" i="1" s="1"/>
  <c r="U104" i="1" s="1" a="1"/>
  <c r="U104" i="1" s="1"/>
  <c r="T104" i="1"/>
  <c r="T103" i="1"/>
  <c r="V102" i="1" a="1"/>
  <c r="V102" i="1" s="1"/>
  <c r="U102" i="1" s="1" a="1"/>
  <c r="U102" i="1" s="1"/>
  <c r="T102" i="1"/>
  <c r="V6" i="1" a="1"/>
  <c r="V6" i="1" s="1"/>
  <c r="AF103" i="1" l="1" a="1"/>
  <c r="AF103" i="1" s="1"/>
  <c r="AE103" i="1" s="1"/>
  <c r="AF105" i="1" a="1"/>
  <c r="AF105" i="1" s="1"/>
  <c r="AE105" i="1" s="1"/>
  <c r="AF138" i="1"/>
  <c r="E16" i="3" s="1"/>
  <c r="AF129" i="1" a="1"/>
  <c r="AF129" i="1" s="1"/>
  <c r="AE129" i="1" s="1"/>
  <c r="AF125" i="1" a="1"/>
  <c r="AF125" i="1" s="1"/>
  <c r="AE125" i="1" s="1"/>
  <c r="AF121" i="1" a="1"/>
  <c r="AF121" i="1" s="1"/>
  <c r="AE121" i="1" s="1"/>
  <c r="AF116" i="1" a="1"/>
  <c r="AF116" i="1" s="1"/>
  <c r="AE116" i="1" s="1"/>
  <c r="AF106" i="1" a="1"/>
  <c r="AF106" i="1" s="1"/>
  <c r="AE106" i="1" s="1"/>
  <c r="AF120" i="1" a="1"/>
  <c r="AF120" i="1" s="1"/>
  <c r="AE120" i="1" s="1"/>
  <c r="AF111" i="1" a="1"/>
  <c r="AF111" i="1" s="1"/>
  <c r="AE111" i="1" s="1"/>
  <c r="AF113" i="1" a="1"/>
  <c r="AF113" i="1" s="1"/>
  <c r="AE113" i="1" s="1"/>
  <c r="AF115" i="1" a="1"/>
  <c r="AF115" i="1" s="1"/>
  <c r="AE115" i="1" s="1"/>
  <c r="AF117" i="1" a="1"/>
  <c r="AF117" i="1" s="1"/>
  <c r="AE117" i="1" s="1"/>
  <c r="AF122" i="1" a="1"/>
  <c r="AF122" i="1" s="1"/>
  <c r="AE122" i="1" s="1"/>
  <c r="AF124" i="1" a="1"/>
  <c r="AF124" i="1" s="1"/>
  <c r="AE124" i="1" s="1"/>
  <c r="AF107" i="1" a="1"/>
  <c r="AF107" i="1" s="1"/>
  <c r="AE107" i="1" s="1"/>
  <c r="AF109" i="1" a="1"/>
  <c r="AF109" i="1" s="1"/>
  <c r="AE109" i="1" s="1"/>
  <c r="AF126" i="1" a="1"/>
  <c r="AF126" i="1" s="1"/>
  <c r="AE126" i="1" s="1"/>
  <c r="AF128" i="1" a="1"/>
  <c r="AF128" i="1" s="1"/>
  <c r="AE128" i="1" s="1"/>
  <c r="AF112" i="1" a="1"/>
  <c r="AF112" i="1" s="1"/>
  <c r="AE112" i="1" s="1"/>
  <c r="AF130" i="1" a="1"/>
  <c r="AF130" i="1" s="1"/>
  <c r="AE130" i="1" s="1"/>
  <c r="AF132" i="1" a="1"/>
  <c r="AF132" i="1" s="1"/>
  <c r="AE132" i="1" s="1"/>
  <c r="AF134" i="1" a="1"/>
  <c r="AF134" i="1" s="1"/>
  <c r="AE134" i="1" s="1"/>
  <c r="AF108" i="1" a="1"/>
  <c r="AF108" i="1" s="1"/>
  <c r="AE108" i="1" s="1"/>
  <c r="AF133" i="1" a="1"/>
  <c r="AF133" i="1" s="1"/>
  <c r="AE133" i="1" s="1"/>
  <c r="AF123" i="1" a="1"/>
  <c r="AF123" i="1" s="1"/>
  <c r="AE123" i="1" s="1"/>
  <c r="AF127" i="1" a="1"/>
  <c r="AF127" i="1" s="1"/>
  <c r="AE127" i="1" s="1"/>
  <c r="AF131" i="1" a="1"/>
  <c r="AF131" i="1" s="1"/>
  <c r="AE131" i="1" s="1"/>
  <c r="AF110" i="1" a="1"/>
  <c r="AF110" i="1" s="1"/>
  <c r="AE110" i="1" s="1"/>
  <c r="AF114" i="1" a="1"/>
  <c r="AF114" i="1" s="1"/>
  <c r="AE114" i="1" s="1"/>
  <c r="M44" i="1" a="1"/>
  <c r="M44" i="1" s="1"/>
  <c r="M46" i="1" a="1"/>
  <c r="M46" i="1" s="1"/>
  <c r="M47" i="1" a="1"/>
  <c r="M47" i="1" s="1"/>
  <c r="M48" i="1" a="1"/>
  <c r="M48" i="1" s="1"/>
  <c r="M42" i="1" a="1"/>
  <c r="M42" i="1" s="1"/>
  <c r="N172" i="1" a="1"/>
  <c r="N172" i="1" s="1"/>
  <c r="N173" i="1" a="1"/>
  <c r="N173" i="1" s="1"/>
  <c r="N22" i="2"/>
  <c r="N81" i="1" l="1" a="1"/>
  <c r="N81" i="1" s="1"/>
  <c r="N180" i="1" a="1"/>
  <c r="N180" i="1" s="1"/>
  <c r="N170" i="1" a="1"/>
  <c r="N170" i="1" s="1"/>
  <c r="N179" i="1" a="1"/>
  <c r="N179" i="1" s="1"/>
  <c r="N80" i="1" a="1"/>
  <c r="N80" i="1" s="1"/>
  <c r="N79" i="1" a="1"/>
  <c r="N79" i="1" s="1"/>
  <c r="N171" i="1" a="1"/>
  <c r="N171" i="1" s="1"/>
  <c r="N78" i="1" a="1"/>
  <c r="N78" i="1" s="1"/>
  <c r="N178" i="1" a="1"/>
  <c r="N178" i="1" s="1"/>
  <c r="N177" i="1" a="1"/>
  <c r="N177" i="1" s="1"/>
  <c r="N74" i="1" a="1"/>
  <c r="N74" i="1" s="1"/>
  <c r="N76" i="1" a="1"/>
  <c r="N76" i="1" s="1"/>
  <c r="N176" i="1" a="1"/>
  <c r="N176" i="1" s="1"/>
  <c r="N75" i="1" a="1"/>
  <c r="N75" i="1" s="1"/>
  <c r="N175" i="1" a="1"/>
  <c r="N175" i="1" s="1"/>
  <c r="N82" i="1" a="1"/>
  <c r="N82" i="1" s="1"/>
  <c r="N84" i="1" a="1"/>
  <c r="N84" i="1" s="1"/>
  <c r="N174" i="1" a="1"/>
  <c r="N174" i="1" s="1"/>
  <c r="N17" i="2" l="1"/>
  <c r="N16" i="2"/>
  <c r="N13" i="2"/>
  <c r="N12" i="2"/>
  <c r="N11" i="2" l="1"/>
  <c r="N10" i="2"/>
  <c r="N9" i="2"/>
  <c r="N7" i="2" l="1"/>
  <c r="N8" i="2"/>
  <c r="AF42" i="1" l="1"/>
  <c r="K16" i="3"/>
  <c r="V23" i="1" l="1" a="1"/>
  <c r="V23" i="1" s="1"/>
  <c r="U23" i="1" s="1" a="1"/>
  <c r="U23" i="1" s="1"/>
  <c r="V24" i="1" a="1"/>
  <c r="V24" i="1" s="1"/>
  <c r="U24" i="1" s="1" a="1"/>
  <c r="U24" i="1" s="1"/>
  <c r="V25" i="1" a="1"/>
  <c r="V25" i="1" s="1"/>
  <c r="V26" i="1" a="1"/>
  <c r="V26" i="1" s="1"/>
  <c r="U26" i="1" s="1" a="1"/>
  <c r="U26" i="1" s="1"/>
  <c r="V27" i="1" a="1"/>
  <c r="V27" i="1" s="1"/>
  <c r="V28" i="1" a="1"/>
  <c r="V28" i="1" s="1"/>
  <c r="U28" i="1" s="1" a="1"/>
  <c r="U28" i="1" s="1"/>
  <c r="V29" i="1" a="1"/>
  <c r="V29" i="1" s="1"/>
  <c r="U29" i="1" s="1" a="1"/>
  <c r="U29" i="1" s="1"/>
  <c r="V30" i="1" a="1"/>
  <c r="V30" i="1" s="1"/>
  <c r="U30" i="1" s="1" a="1"/>
  <c r="U30" i="1" s="1"/>
  <c r="V31" i="1" a="1"/>
  <c r="V31" i="1" s="1"/>
  <c r="U31" i="1" s="1" a="1"/>
  <c r="U31" i="1" s="1"/>
  <c r="V32" i="1" a="1"/>
  <c r="V32" i="1" s="1"/>
  <c r="U32" i="1" s="1" a="1"/>
  <c r="U32" i="1" s="1"/>
  <c r="V33" i="1" a="1"/>
  <c r="V33" i="1" s="1"/>
  <c r="U33" i="1" s="1" a="1"/>
  <c r="U33" i="1" s="1"/>
  <c r="V34" i="1" a="1"/>
  <c r="V34" i="1" s="1"/>
  <c r="U34" i="1" s="1" a="1"/>
  <c r="U34" i="1" s="1"/>
  <c r="V35" i="1" a="1"/>
  <c r="V35" i="1" s="1"/>
  <c r="U35" i="1" s="1" a="1"/>
  <c r="U35" i="1" s="1"/>
  <c r="V36" i="1" a="1"/>
  <c r="V36" i="1" s="1"/>
  <c r="U36" i="1" s="1" a="1"/>
  <c r="U36" i="1" s="1"/>
  <c r="V37" i="1" a="1"/>
  <c r="V37" i="1" s="1"/>
  <c r="U37" i="1" s="1" a="1"/>
  <c r="U37" i="1" s="1"/>
  <c r="V38" i="1" a="1"/>
  <c r="V38" i="1" s="1"/>
  <c r="U38" i="1" s="1" a="1"/>
  <c r="U38" i="1" s="1"/>
  <c r="V21" i="1" a="1"/>
  <c r="V21" i="1" s="1"/>
  <c r="V7" i="1" a="1"/>
  <c r="V7" i="1" s="1"/>
  <c r="V8" i="1" a="1"/>
  <c r="V8" i="1" s="1"/>
  <c r="U8" i="1" s="1" a="1"/>
  <c r="U8" i="1" s="1"/>
  <c r="V9" i="1" a="1"/>
  <c r="V9" i="1" s="1"/>
  <c r="V10" i="1" a="1"/>
  <c r="V10" i="1" s="1"/>
  <c r="V11" i="1" a="1"/>
  <c r="V11" i="1" s="1"/>
  <c r="U11" i="1" s="1" a="1"/>
  <c r="U11" i="1" s="1"/>
  <c r="V12" i="1" a="1"/>
  <c r="V12" i="1" s="1"/>
  <c r="V13" i="1" a="1"/>
  <c r="V13" i="1" s="1"/>
  <c r="V14" i="1" a="1"/>
  <c r="V14" i="1" s="1"/>
  <c r="V15" i="1" a="1"/>
  <c r="V15" i="1" s="1"/>
  <c r="V16" i="1" a="1"/>
  <c r="V16" i="1" s="1"/>
  <c r="U16" i="1" s="1" a="1"/>
  <c r="U16" i="1" s="1"/>
  <c r="V17" i="1" a="1"/>
  <c r="V17" i="1" s="1"/>
  <c r="V18" i="1" a="1"/>
  <c r="V18" i="1" s="1"/>
  <c r="U18" i="1" s="1" a="1"/>
  <c r="U18" i="1" s="1"/>
  <c r="V19" i="1" a="1"/>
  <c r="V19" i="1" s="1"/>
  <c r="U19" i="1" s="1" a="1"/>
  <c r="U19" i="1" s="1"/>
  <c r="V20" i="1" a="1"/>
  <c r="V20" i="1" s="1"/>
  <c r="L95" i="5"/>
  <c r="C33" i="6"/>
  <c r="H93" i="5"/>
  <c r="H92" i="5"/>
  <c r="C93" i="5"/>
  <c r="B92" i="5"/>
  <c r="C92" i="5" s="1"/>
  <c r="L88" i="5"/>
  <c r="D52" i="6"/>
  <c r="F52" i="6"/>
  <c r="D88" i="5"/>
  <c r="H85" i="5"/>
  <c r="H84" i="5"/>
  <c r="L75" i="5"/>
  <c r="L71" i="5"/>
  <c r="L67" i="5"/>
  <c r="I77" i="5"/>
  <c r="I74" i="5"/>
  <c r="I75" i="5"/>
  <c r="I76" i="5"/>
  <c r="I78" i="5"/>
  <c r="I73" i="5"/>
  <c r="I66" i="5"/>
  <c r="I67" i="5"/>
  <c r="I68" i="5"/>
  <c r="I69" i="5"/>
  <c r="I70" i="5"/>
  <c r="I71" i="5"/>
  <c r="I65" i="5"/>
  <c r="D65" i="5"/>
  <c r="D78" i="5"/>
  <c r="D77" i="5"/>
  <c r="D76" i="5"/>
  <c r="D75" i="5"/>
  <c r="D73" i="5"/>
  <c r="D71" i="5"/>
  <c r="D70" i="5"/>
  <c r="D69" i="5"/>
  <c r="D68" i="5"/>
  <c r="D67" i="5"/>
  <c r="D66" i="5"/>
  <c r="E46" i="6"/>
  <c r="E16" i="6"/>
  <c r="B16" i="6"/>
  <c r="B17" i="6"/>
  <c r="G17" i="6" s="1"/>
  <c r="B18" i="6"/>
  <c r="G18" i="6" s="1"/>
  <c r="B19" i="6"/>
  <c r="B20" i="6"/>
  <c r="B21" i="6"/>
  <c r="B22" i="6"/>
  <c r="G22" i="6" s="1"/>
  <c r="B23" i="6"/>
  <c r="B24" i="6"/>
  <c r="B25" i="6"/>
  <c r="B26" i="6"/>
  <c r="B27" i="6"/>
  <c r="B28" i="6"/>
  <c r="B29" i="6"/>
  <c r="B30" i="6"/>
  <c r="B31" i="6"/>
  <c r="B32" i="6"/>
  <c r="B33" i="6"/>
  <c r="B34" i="6"/>
  <c r="B46" i="6"/>
  <c r="G46" i="6" s="1"/>
  <c r="B47" i="6"/>
  <c r="G47" i="6" s="1"/>
  <c r="B48" i="6"/>
  <c r="G48" i="6" s="1"/>
  <c r="B49" i="6"/>
  <c r="G49" i="6" s="1"/>
  <c r="B50" i="6"/>
  <c r="G50" i="6" s="1"/>
  <c r="B51" i="6"/>
  <c r="B52" i="6"/>
  <c r="G52" i="6" s="1"/>
  <c r="B53" i="6"/>
  <c r="G53" i="6" s="1"/>
  <c r="B15" i="6"/>
  <c r="F25" i="2"/>
  <c r="H25" i="2" s="1"/>
  <c r="E15" i="6"/>
  <c r="U12" i="1" l="1" a="1"/>
  <c r="U12" i="1" s="1"/>
  <c r="AF12" i="1" s="1" a="1"/>
  <c r="AF12" i="1" s="1"/>
  <c r="AE12" i="1" s="1"/>
  <c r="AF13" i="1" a="1"/>
  <c r="AF13" i="1" s="1"/>
  <c r="AE13" i="1" s="1"/>
  <c r="U13" i="1" a="1"/>
  <c r="U13" i="1" s="1"/>
  <c r="AF10" i="1" a="1"/>
  <c r="AF10" i="1" s="1"/>
  <c r="AE10" i="1" s="1"/>
  <c r="U10" i="1" a="1"/>
  <c r="U10" i="1" s="1"/>
  <c r="AF27" i="1" a="1"/>
  <c r="AF27" i="1" s="1"/>
  <c r="AE27" i="1" s="1"/>
  <c r="U27" i="1" a="1"/>
  <c r="U27" i="1" s="1"/>
  <c r="AF17" i="1" a="1"/>
  <c r="AF17" i="1" s="1"/>
  <c r="AE17" i="1" s="1"/>
  <c r="U17" i="1" a="1"/>
  <c r="U17" i="1" s="1"/>
  <c r="AF9" i="1" a="1"/>
  <c r="AF9" i="1" s="1"/>
  <c r="AE9" i="1" s="1"/>
  <c r="U9" i="1" a="1"/>
  <c r="U9" i="1" s="1"/>
  <c r="U25" i="1" a="1"/>
  <c r="U25" i="1" s="1"/>
  <c r="AF25" i="1" s="1" a="1"/>
  <c r="AF25" i="1" s="1"/>
  <c r="AE25" i="1" s="1"/>
  <c r="AF15" i="1" a="1"/>
  <c r="AF15" i="1" s="1"/>
  <c r="AE15" i="1" s="1"/>
  <c r="U15" i="1" a="1"/>
  <c r="U15" i="1" s="1"/>
  <c r="AF20" i="1" a="1"/>
  <c r="AF20" i="1" s="1"/>
  <c r="AE20" i="1" s="1"/>
  <c r="U20" i="1" a="1"/>
  <c r="U20" i="1" s="1"/>
  <c r="AF14" i="1" a="1"/>
  <c r="AF14" i="1" s="1"/>
  <c r="AE14" i="1" s="1"/>
  <c r="U14" i="1" a="1"/>
  <c r="U14" i="1" s="1"/>
  <c r="AF21" i="1" a="1"/>
  <c r="AF21" i="1" s="1"/>
  <c r="AE21" i="1" s="1"/>
  <c r="U21" i="1" a="1"/>
  <c r="U21" i="1" s="1"/>
  <c r="AF8" i="1" a="1"/>
  <c r="AF8" i="1" s="1"/>
  <c r="AE8" i="1" s="1"/>
  <c r="C95" i="5"/>
  <c r="K23" i="6" s="1"/>
  <c r="M23" i="6" s="1"/>
  <c r="M22" i="6"/>
  <c r="K22" i="6" s="1"/>
  <c r="E22" i="6"/>
  <c r="C22" i="6" s="1"/>
  <c r="C51" i="6"/>
  <c r="K51" i="6"/>
  <c r="M51" i="6" s="1"/>
  <c r="H88" i="5"/>
  <c r="H95" i="5"/>
  <c r="C26" i="6" s="1"/>
  <c r="L80" i="5"/>
  <c r="AF35" i="1" a="1"/>
  <c r="AF35" i="1" s="1"/>
  <c r="AE35" i="1" s="1"/>
  <c r="AF34" i="1" a="1"/>
  <c r="AF34" i="1" s="1"/>
  <c r="AE34" i="1" s="1"/>
  <c r="AF26" i="1" a="1"/>
  <c r="AF26" i="1" s="1"/>
  <c r="AE26" i="1" s="1"/>
  <c r="AF16" i="1" a="1"/>
  <c r="AF16" i="1" s="1"/>
  <c r="AE16" i="1" s="1"/>
  <c r="AF33" i="1" a="1"/>
  <c r="AF33" i="1" s="1"/>
  <c r="AE33" i="1" s="1"/>
  <c r="AF32" i="1" a="1"/>
  <c r="AF32" i="1" s="1"/>
  <c r="AE32" i="1" s="1"/>
  <c r="AF18" i="1" a="1"/>
  <c r="AF18" i="1" s="1"/>
  <c r="AE18" i="1" s="1"/>
  <c r="AF31" i="1" a="1"/>
  <c r="AF31" i="1" s="1"/>
  <c r="AE31" i="1" s="1"/>
  <c r="AF38" i="1" a="1"/>
  <c r="AF38" i="1" s="1"/>
  <c r="AE38" i="1" s="1"/>
  <c r="AF37" i="1" a="1"/>
  <c r="AF37" i="1" s="1"/>
  <c r="AE37" i="1" s="1"/>
  <c r="AF29" i="1" a="1"/>
  <c r="AF29" i="1" s="1"/>
  <c r="AE29" i="1" s="1"/>
  <c r="AF19" i="1" a="1"/>
  <c r="AF19" i="1" s="1"/>
  <c r="AE19" i="1" s="1"/>
  <c r="AF11" i="1" a="1"/>
  <c r="AF11" i="1" s="1"/>
  <c r="AE11" i="1" s="1"/>
  <c r="AF36" i="1" a="1"/>
  <c r="AF36" i="1" s="1"/>
  <c r="AE36" i="1" s="1"/>
  <c r="AF28" i="1" a="1"/>
  <c r="AF28" i="1" s="1"/>
  <c r="AE28" i="1" s="1"/>
  <c r="G34" i="6"/>
  <c r="G15" i="6"/>
  <c r="G16" i="6"/>
  <c r="C16" i="6" s="1"/>
  <c r="AF119" i="1" s="1" a="1"/>
  <c r="AF119" i="1" s="1"/>
  <c r="AE119" i="1" s="1"/>
  <c r="D80" i="5"/>
  <c r="I80" i="5"/>
  <c r="C46" i="6"/>
  <c r="C23" i="6" l="1"/>
  <c r="K26" i="6"/>
  <c r="M26" i="6" s="1"/>
  <c r="K27" i="6"/>
  <c r="M27" i="6" s="1"/>
  <c r="C53" i="6"/>
  <c r="K53" i="6"/>
  <c r="K52" i="6" s="1"/>
  <c r="K49" i="6"/>
  <c r="M49" i="6" s="1"/>
  <c r="C49" i="6"/>
  <c r="E49" i="6" s="1"/>
  <c r="C47" i="6"/>
  <c r="E47" i="6" s="1"/>
  <c r="AF104" i="1" s="1" a="1"/>
  <c r="AF104" i="1" s="1"/>
  <c r="AE104" i="1" s="1"/>
  <c r="K47" i="6"/>
  <c r="C27" i="6"/>
  <c r="C50" i="6"/>
  <c r="E50" i="6" s="1"/>
  <c r="K50" i="6"/>
  <c r="M50" i="6" s="1"/>
  <c r="O62" i="1" a="1"/>
  <c r="O62" i="1" s="1"/>
  <c r="K48" i="6" l="1"/>
  <c r="C48" i="6"/>
  <c r="C52" i="6"/>
  <c r="E53" i="6"/>
  <c r="E52" i="6" s="1"/>
  <c r="E48" i="6"/>
  <c r="AF102" i="1" s="1" a="1"/>
  <c r="AF102" i="1" s="1"/>
  <c r="AE102" i="1" s="1"/>
  <c r="M53" i="6"/>
  <c r="M52" i="6" s="1"/>
  <c r="M47" i="6"/>
  <c r="M48" i="6" s="1"/>
  <c r="N6" i="2"/>
  <c r="D7" i="2"/>
  <c r="H7" i="2" s="1"/>
  <c r="D36" i="2"/>
  <c r="H36" i="2" s="1"/>
  <c r="F24" i="5" a="1"/>
  <c r="F24" i="5" s="1"/>
  <c r="G24" i="5" s="1"/>
  <c r="N147" i="1" s="1" a="1"/>
  <c r="N147" i="1" s="1"/>
  <c r="F10" i="2"/>
  <c r="G19" i="6" s="1"/>
  <c r="D10" i="2"/>
  <c r="AF137" i="1" l="1"/>
  <c r="E15" i="3" s="1"/>
  <c r="E14" i="3" s="1"/>
  <c r="N148" i="1" a="1"/>
  <c r="N148" i="1" s="1"/>
  <c r="N149" i="1" a="1"/>
  <c r="N149" i="1" s="1"/>
  <c r="N150" i="1" a="1"/>
  <c r="N150" i="1" s="1"/>
  <c r="N151" i="1" a="1"/>
  <c r="N151" i="1" s="1"/>
  <c r="N152" i="1" a="1"/>
  <c r="N152" i="1" s="1"/>
  <c r="M180" i="1" a="1"/>
  <c r="M180" i="1" s="1"/>
  <c r="F171" i="1"/>
  <c r="F172" i="1"/>
  <c r="F173" i="1"/>
  <c r="F174" i="1"/>
  <c r="F175" i="1"/>
  <c r="F176" i="1"/>
  <c r="F177" i="1"/>
  <c r="F178" i="1"/>
  <c r="F179" i="1"/>
  <c r="F180" i="1"/>
  <c r="F170" i="1"/>
  <c r="AF139" i="1" l="1"/>
  <c r="N109" i="1" a="1"/>
  <c r="N109" i="1" s="1"/>
  <c r="M166" i="1" a="1"/>
  <c r="M166" i="1" s="1"/>
  <c r="M165" i="1" a="1"/>
  <c r="M165" i="1" s="1"/>
  <c r="M164" i="1" a="1"/>
  <c r="M164" i="1" s="1"/>
  <c r="M163" i="1" a="1"/>
  <c r="M163" i="1" s="1"/>
  <c r="M162" i="1" a="1"/>
  <c r="M162" i="1" s="1"/>
  <c r="M161" i="1" a="1"/>
  <c r="M161" i="1" s="1"/>
  <c r="M160" i="1" a="1"/>
  <c r="M160" i="1" s="1"/>
  <c r="M159" i="1" a="1"/>
  <c r="M159" i="1" s="1"/>
  <c r="M158" i="1" a="1"/>
  <c r="M158" i="1" s="1"/>
  <c r="M157" i="1" a="1"/>
  <c r="M157" i="1" s="1"/>
  <c r="M156" i="1" a="1"/>
  <c r="M156" i="1" s="1"/>
  <c r="M155" i="1" a="1"/>
  <c r="M155" i="1" s="1"/>
  <c r="M154" i="1" a="1"/>
  <c r="M154" i="1" s="1"/>
  <c r="M153" i="1" a="1"/>
  <c r="M153" i="1" s="1"/>
  <c r="M152" i="1" a="1"/>
  <c r="M152" i="1" s="1"/>
  <c r="M151" i="1" a="1"/>
  <c r="M151" i="1" s="1"/>
  <c r="M150" i="1" a="1"/>
  <c r="M150" i="1" s="1"/>
  <c r="M149" i="1" a="1"/>
  <c r="M149" i="1" s="1"/>
  <c r="M148" i="1" a="1"/>
  <c r="M148" i="1" s="1"/>
  <c r="O134" i="1" a="1"/>
  <c r="O134" i="1" s="1"/>
  <c r="N134" i="1" a="1"/>
  <c r="N134" i="1" s="1"/>
  <c r="O133" i="1" a="1"/>
  <c r="O133" i="1" s="1"/>
  <c r="N133" i="1" a="1"/>
  <c r="N133" i="1" s="1"/>
  <c r="O132" i="1" a="1"/>
  <c r="O132" i="1" s="1"/>
  <c r="N132" i="1" a="1"/>
  <c r="N132" i="1" s="1"/>
  <c r="O131" i="1" a="1"/>
  <c r="O131" i="1" s="1"/>
  <c r="N131" i="1" a="1"/>
  <c r="N131" i="1" s="1"/>
  <c r="O130" i="1" a="1"/>
  <c r="O130" i="1" s="1"/>
  <c r="N130" i="1" a="1"/>
  <c r="N130" i="1" s="1"/>
  <c r="O129" i="1" a="1"/>
  <c r="O129" i="1" s="1"/>
  <c r="N129" i="1" a="1"/>
  <c r="N129" i="1" s="1"/>
  <c r="O128" i="1" a="1"/>
  <c r="O128" i="1" s="1"/>
  <c r="N128" i="1" a="1"/>
  <c r="N128" i="1" s="1"/>
  <c r="O127" i="1" a="1"/>
  <c r="O127" i="1" s="1"/>
  <c r="N127" i="1" a="1"/>
  <c r="N127" i="1" s="1"/>
  <c r="O126" i="1" a="1"/>
  <c r="O126" i="1" s="1"/>
  <c r="N126" i="1" a="1"/>
  <c r="N126" i="1" s="1"/>
  <c r="O125" i="1" a="1"/>
  <c r="O125" i="1" s="1"/>
  <c r="N125" i="1" a="1"/>
  <c r="N125" i="1" s="1"/>
  <c r="O124" i="1" a="1"/>
  <c r="O124" i="1" s="1"/>
  <c r="N124" i="1" a="1"/>
  <c r="N124" i="1" s="1"/>
  <c r="O123" i="1" a="1"/>
  <c r="O123" i="1" s="1"/>
  <c r="N123" i="1" a="1"/>
  <c r="N123" i="1" s="1"/>
  <c r="O122" i="1" a="1"/>
  <c r="O122" i="1" s="1"/>
  <c r="N122" i="1" a="1"/>
  <c r="N122" i="1" s="1"/>
  <c r="O121" i="1" a="1"/>
  <c r="O121" i="1" s="1"/>
  <c r="N121" i="1" a="1"/>
  <c r="N121" i="1" s="1"/>
  <c r="O120" i="1" a="1"/>
  <c r="O120" i="1" s="1"/>
  <c r="N120" i="1" a="1"/>
  <c r="N120" i="1" s="1"/>
  <c r="O117" i="1" a="1"/>
  <c r="O117" i="1" s="1"/>
  <c r="N117" i="1" a="1"/>
  <c r="N117" i="1" s="1"/>
  <c r="O116" i="1" a="1"/>
  <c r="O116" i="1" s="1"/>
  <c r="N116" i="1" a="1"/>
  <c r="N116" i="1" s="1"/>
  <c r="O115" i="1" a="1"/>
  <c r="O115" i="1" s="1"/>
  <c r="N115" i="1" a="1"/>
  <c r="N115" i="1" s="1"/>
  <c r="O114" i="1" a="1"/>
  <c r="O114" i="1" s="1"/>
  <c r="N114" i="1" a="1"/>
  <c r="N114" i="1" s="1"/>
  <c r="O113" i="1" a="1"/>
  <c r="O113" i="1" s="1"/>
  <c r="N113" i="1" a="1"/>
  <c r="N113" i="1" s="1"/>
  <c r="O112" i="1" a="1"/>
  <c r="O112" i="1" s="1"/>
  <c r="N112" i="1" a="1"/>
  <c r="N112" i="1" s="1"/>
  <c r="O111" i="1" a="1"/>
  <c r="O111" i="1" s="1"/>
  <c r="N111" i="1" a="1"/>
  <c r="N111" i="1" s="1"/>
  <c r="O110" i="1" a="1"/>
  <c r="O110" i="1" s="1"/>
  <c r="N110" i="1" a="1"/>
  <c r="N110" i="1" s="1"/>
  <c r="O109" i="1" a="1"/>
  <c r="O109" i="1" s="1"/>
  <c r="O108" i="1" a="1"/>
  <c r="O108" i="1" s="1"/>
  <c r="N108" i="1" a="1"/>
  <c r="N108" i="1" s="1"/>
  <c r="O107" i="1" a="1"/>
  <c r="O107" i="1" s="1"/>
  <c r="N107" i="1" a="1"/>
  <c r="N107" i="1" s="1"/>
  <c r="O106" i="1" a="1"/>
  <c r="O106" i="1" s="1"/>
  <c r="N106" i="1" a="1"/>
  <c r="N106" i="1" s="1"/>
  <c r="O105" i="1" a="1"/>
  <c r="O105" i="1" s="1"/>
  <c r="N105" i="1" a="1"/>
  <c r="N105" i="1" s="1"/>
  <c r="O104" i="1" a="1"/>
  <c r="O104" i="1" s="1"/>
  <c r="O103" i="1" a="1"/>
  <c r="O103" i="1" s="1"/>
  <c r="N103" i="1" a="1"/>
  <c r="N103" i="1" s="1"/>
  <c r="D13" i="2"/>
  <c r="F23" i="2"/>
  <c r="G32" i="6" s="1"/>
  <c r="F22" i="2"/>
  <c r="G31" i="6" s="1"/>
  <c r="F21" i="2"/>
  <c r="G30" i="6" s="1"/>
  <c r="D20" i="2"/>
  <c r="F16" i="2"/>
  <c r="G25" i="6" s="1"/>
  <c r="F41" i="2"/>
  <c r="G51" i="6" s="1"/>
  <c r="E51" i="6" s="1"/>
  <c r="D41" i="2"/>
  <c r="T61" i="2"/>
  <c r="T62" i="2"/>
  <c r="M122" i="1" l="1" a="1"/>
  <c r="M122" i="1" s="1"/>
  <c r="M128" i="1" a="1"/>
  <c r="M128" i="1" s="1"/>
  <c r="M124" i="1" a="1"/>
  <c r="M124" i="1" s="1"/>
  <c r="H41" i="2"/>
  <c r="M117" i="1" a="1"/>
  <c r="M117" i="1" s="1"/>
  <c r="M129" i="1" a="1"/>
  <c r="M129" i="1" s="1"/>
  <c r="M112" i="1" a="1"/>
  <c r="M112" i="1" s="1"/>
  <c r="M121" i="1" a="1"/>
  <c r="M121" i="1" s="1"/>
  <c r="M134" i="1" a="1"/>
  <c r="M134" i="1" s="1"/>
  <c r="U44" i="2"/>
  <c r="M132" i="1" a="1"/>
  <c r="M132" i="1" s="1"/>
  <c r="M108" i="1" a="1"/>
  <c r="M108" i="1" s="1"/>
  <c r="M133" i="1" a="1"/>
  <c r="M133" i="1" s="1"/>
  <c r="M123" i="1" a="1"/>
  <c r="M123" i="1" s="1"/>
  <c r="M110" i="1" a="1"/>
  <c r="M110" i="1" s="1"/>
  <c r="M127" i="1" a="1"/>
  <c r="M127" i="1" s="1"/>
  <c r="M131" i="1" a="1"/>
  <c r="M131" i="1" s="1"/>
  <c r="M106" i="1" a="1"/>
  <c r="M106" i="1" s="1"/>
  <c r="M114" i="1" a="1"/>
  <c r="M114" i="1" s="1"/>
  <c r="M126" i="1" a="1"/>
  <c r="M126" i="1" s="1"/>
  <c r="M103" i="1" a="1"/>
  <c r="M103" i="1" s="1"/>
  <c r="M130" i="1" a="1"/>
  <c r="M130" i="1" s="1"/>
  <c r="M109" i="1" a="1"/>
  <c r="M109" i="1" s="1"/>
  <c r="M105" i="1" a="1"/>
  <c r="M105" i="1" s="1"/>
  <c r="M107" i="1" a="1"/>
  <c r="M107" i="1" s="1"/>
  <c r="M111" i="1" a="1"/>
  <c r="M111" i="1" s="1"/>
  <c r="M113" i="1" a="1"/>
  <c r="M113" i="1" s="1"/>
  <c r="M115" i="1" a="1"/>
  <c r="M115" i="1" s="1"/>
  <c r="M120" i="1" a="1"/>
  <c r="M120" i="1" s="1"/>
  <c r="M116" i="1" a="1"/>
  <c r="M116" i="1" s="1"/>
  <c r="M125" i="1" a="1"/>
  <c r="M125" i="1" s="1"/>
  <c r="M84" i="1" l="1" a="1"/>
  <c r="M84" i="1" s="1"/>
  <c r="O25" i="1" l="1" a="1"/>
  <c r="O25" i="1" s="1"/>
  <c r="O26" i="1" a="1"/>
  <c r="O26" i="1" s="1"/>
  <c r="O27" i="1" a="1"/>
  <c r="O27" i="1" s="1"/>
  <c r="O28" i="1" a="1"/>
  <c r="O28" i="1" s="1"/>
  <c r="O29" i="1" a="1"/>
  <c r="O29" i="1" s="1"/>
  <c r="O30" i="1" a="1"/>
  <c r="O30" i="1" s="1"/>
  <c r="O31" i="1" a="1"/>
  <c r="O31" i="1" s="1"/>
  <c r="O32" i="1" a="1"/>
  <c r="O32" i="1" s="1"/>
  <c r="O33" i="1" a="1"/>
  <c r="O33" i="1" s="1"/>
  <c r="O35" i="1" a="1"/>
  <c r="O35" i="1" s="1"/>
  <c r="O36" i="1" a="1"/>
  <c r="O36" i="1" s="1"/>
  <c r="O37" i="1" a="1"/>
  <c r="O37" i="1" s="1"/>
  <c r="O38" i="1" a="1"/>
  <c r="O38" i="1" s="1"/>
  <c r="N25" i="1" a="1"/>
  <c r="N25" i="1" s="1"/>
  <c r="N26" i="1" a="1"/>
  <c r="N26" i="1" s="1"/>
  <c r="N27" i="1" a="1"/>
  <c r="N27" i="1" s="1"/>
  <c r="N29" i="1" a="1"/>
  <c r="N29" i="1" s="1"/>
  <c r="N30" i="1" a="1"/>
  <c r="N30" i="1" s="1"/>
  <c r="N31" i="1" a="1"/>
  <c r="N31" i="1" s="1"/>
  <c r="N32" i="1" a="1"/>
  <c r="N32" i="1" s="1"/>
  <c r="N34" i="1" a="1"/>
  <c r="N34" i="1" s="1"/>
  <c r="N35" i="1" a="1"/>
  <c r="N35" i="1" s="1"/>
  <c r="N36" i="1" a="1"/>
  <c r="N36" i="1" s="1"/>
  <c r="N37" i="1" a="1"/>
  <c r="N37" i="1" s="1"/>
  <c r="N38" i="1" a="1"/>
  <c r="N38" i="1" s="1"/>
  <c r="O8" i="1" a="1"/>
  <c r="O8" i="1" s="1"/>
  <c r="O9" i="1" a="1"/>
  <c r="O9" i="1" s="1"/>
  <c r="O10" i="1" a="1"/>
  <c r="O10" i="1" s="1"/>
  <c r="O11" i="1" a="1"/>
  <c r="O11" i="1" s="1"/>
  <c r="O12" i="1" a="1"/>
  <c r="O12" i="1" s="1"/>
  <c r="O13" i="1" a="1"/>
  <c r="O13" i="1" s="1"/>
  <c r="O14" i="1" a="1"/>
  <c r="O14" i="1" s="1"/>
  <c r="O15" i="1" a="1"/>
  <c r="O15" i="1" s="1"/>
  <c r="O16" i="1" a="1"/>
  <c r="O16" i="1" s="1"/>
  <c r="O17" i="1" a="1"/>
  <c r="O17" i="1" s="1"/>
  <c r="O18" i="1" a="1"/>
  <c r="O18" i="1" s="1"/>
  <c r="O19" i="1" a="1"/>
  <c r="O19" i="1" s="1"/>
  <c r="O20" i="1" a="1"/>
  <c r="O20" i="1" s="1"/>
  <c r="O21" i="1" a="1"/>
  <c r="O21" i="1" s="1"/>
  <c r="N9" i="1" a="1"/>
  <c r="N9" i="1" s="1"/>
  <c r="N10" i="1" a="1"/>
  <c r="N10" i="1" s="1"/>
  <c r="N11" i="1" a="1"/>
  <c r="N11" i="1" s="1"/>
  <c r="N12" i="1" a="1"/>
  <c r="N12" i="1" s="1"/>
  <c r="N13" i="1" a="1"/>
  <c r="N13" i="1" s="1"/>
  <c r="N14" i="1" a="1"/>
  <c r="N14" i="1" s="1"/>
  <c r="N15" i="1" a="1"/>
  <c r="N15" i="1" s="1"/>
  <c r="N16" i="1" a="1"/>
  <c r="N16" i="1" s="1"/>
  <c r="N17" i="1" a="1"/>
  <c r="N17" i="1" s="1"/>
  <c r="N18" i="1" a="1"/>
  <c r="N18" i="1" s="1"/>
  <c r="N19" i="1" a="1"/>
  <c r="N19" i="1" s="1"/>
  <c r="N20" i="1" a="1"/>
  <c r="N20" i="1" s="1"/>
  <c r="N21" i="1" a="1"/>
  <c r="N21" i="1" s="1"/>
  <c r="M58" i="1" a="1"/>
  <c r="M58" i="1" s="1"/>
  <c r="M54" i="1" a="1"/>
  <c r="M54" i="1" s="1"/>
  <c r="M55" i="1" a="1"/>
  <c r="M55" i="1" s="1"/>
  <c r="M56" i="1" a="1"/>
  <c r="M56" i="1" s="1"/>
  <c r="M57" i="1" a="1"/>
  <c r="M57" i="1" s="1"/>
  <c r="M59" i="1" a="1"/>
  <c r="M59" i="1" s="1"/>
  <c r="M60" i="1" a="1"/>
  <c r="M60" i="1" s="1"/>
  <c r="M61" i="1" a="1"/>
  <c r="M61" i="1" s="1"/>
  <c r="M62" i="1" a="1"/>
  <c r="M62" i="1" s="1"/>
  <c r="M63" i="1" a="1"/>
  <c r="M63" i="1" s="1"/>
  <c r="M64" i="1" a="1"/>
  <c r="M64" i="1" s="1"/>
  <c r="M66" i="1" a="1"/>
  <c r="M66" i="1" s="1"/>
  <c r="M67" i="1" a="1"/>
  <c r="M67" i="1" s="1"/>
  <c r="M68" i="1" a="1"/>
  <c r="M68" i="1" s="1"/>
  <c r="M69" i="1" a="1"/>
  <c r="M69" i="1" s="1"/>
  <c r="M70" i="1" a="1"/>
  <c r="M70" i="1" s="1"/>
  <c r="T74" i="2"/>
  <c r="U50" i="2" s="1"/>
  <c r="T80" i="2"/>
  <c r="U53" i="2" s="1"/>
  <c r="T83" i="2"/>
  <c r="T84" i="2" s="1"/>
  <c r="U55" i="2" s="1"/>
  <c r="T68" i="2"/>
  <c r="U48" i="2" s="1"/>
  <c r="T76" i="2"/>
  <c r="U52" i="2" s="1"/>
  <c r="M30" i="1" l="1" a="1"/>
  <c r="M30" i="1" s="1"/>
  <c r="M27" i="1" a="1"/>
  <c r="M27" i="1" s="1"/>
  <c r="M9" i="1" a="1"/>
  <c r="M9" i="1" s="1"/>
  <c r="M32" i="1" a="1"/>
  <c r="M32" i="1" s="1"/>
  <c r="M37" i="1" a="1"/>
  <c r="M37" i="1" s="1"/>
  <c r="M31" i="1" a="1"/>
  <c r="M31" i="1" s="1"/>
  <c r="M13" i="1" a="1"/>
  <c r="M13" i="1" s="1"/>
  <c r="M25" i="1" a="1"/>
  <c r="M25" i="1" s="1"/>
  <c r="M35" i="1" a="1"/>
  <c r="M35" i="1" s="1"/>
  <c r="M14" i="1" a="1"/>
  <c r="M14" i="1" s="1"/>
  <c r="M36" i="1" a="1"/>
  <c r="M36" i="1" s="1"/>
  <c r="M29" i="1" a="1"/>
  <c r="M29" i="1" s="1"/>
  <c r="M34" i="1" a="1"/>
  <c r="M34" i="1" s="1"/>
  <c r="M33" i="1" a="1"/>
  <c r="M33" i="1" s="1"/>
  <c r="M38" i="1" a="1"/>
  <c r="M38" i="1" s="1"/>
  <c r="M26" i="1" a="1"/>
  <c r="M26" i="1" s="1"/>
  <c r="M15" i="1" a="1"/>
  <c r="M15" i="1" s="1"/>
  <c r="M21" i="1" a="1"/>
  <c r="M21" i="1" s="1"/>
  <c r="M20" i="1" a="1"/>
  <c r="M20" i="1" s="1"/>
  <c r="M18" i="1" a="1"/>
  <c r="M18" i="1" s="1"/>
  <c r="M10" i="1" a="1"/>
  <c r="M10" i="1" s="1"/>
  <c r="M12" i="1" a="1"/>
  <c r="M12" i="1" s="1"/>
  <c r="M19" i="1" a="1"/>
  <c r="M19" i="1" s="1"/>
  <c r="M11" i="1" a="1"/>
  <c r="M11" i="1" s="1"/>
  <c r="M17" i="1" a="1"/>
  <c r="M17" i="1" s="1"/>
  <c r="M16" i="1" a="1"/>
  <c r="M16" i="1" s="1"/>
  <c r="T65" i="2"/>
  <c r="T64" i="2"/>
  <c r="F75" i="1"/>
  <c r="F76" i="1"/>
  <c r="F77" i="1"/>
  <c r="F78" i="1"/>
  <c r="F79" i="1"/>
  <c r="F80" i="1"/>
  <c r="F81" i="1"/>
  <c r="F82" i="1"/>
  <c r="F83" i="1"/>
  <c r="F84" i="1"/>
  <c r="F74" i="1"/>
  <c r="M177" i="1" a="1"/>
  <c r="M177" i="1" s="1"/>
  <c r="M75" i="1" a="1"/>
  <c r="M75" i="1" s="1"/>
  <c r="M74" i="1" a="1"/>
  <c r="M74" i="1" s="1"/>
  <c r="M79" i="1" a="1"/>
  <c r="M79" i="1" s="1"/>
  <c r="T7" i="1"/>
  <c r="U7" i="1" s="1" a="1"/>
  <c r="U7" i="1" s="1"/>
  <c r="T8" i="1"/>
  <c r="T9" i="1"/>
  <c r="T10" i="1"/>
  <c r="T11" i="1"/>
  <c r="T12" i="1"/>
  <c r="T13" i="1"/>
  <c r="T14" i="1"/>
  <c r="T15" i="1"/>
  <c r="T16" i="1"/>
  <c r="T17" i="1"/>
  <c r="T18" i="1"/>
  <c r="T19" i="1"/>
  <c r="T20" i="1"/>
  <c r="T21" i="1"/>
  <c r="T23" i="1"/>
  <c r="T24" i="1"/>
  <c r="AF24" i="1" s="1" a="1"/>
  <c r="AF24" i="1" s="1"/>
  <c r="AE24" i="1" s="1"/>
  <c r="T25" i="1"/>
  <c r="T26" i="1"/>
  <c r="T27" i="1"/>
  <c r="T28" i="1"/>
  <c r="T29" i="1"/>
  <c r="T30" i="1"/>
  <c r="AF30" i="1" s="1" a="1"/>
  <c r="AF30" i="1" s="1"/>
  <c r="AE30" i="1" s="1"/>
  <c r="T31" i="1"/>
  <c r="T32" i="1"/>
  <c r="T33" i="1"/>
  <c r="T34" i="1"/>
  <c r="T35" i="1"/>
  <c r="T36" i="1"/>
  <c r="T37" i="1"/>
  <c r="T38" i="1"/>
  <c r="T6" i="1"/>
  <c r="U6" i="1" s="1" a="1"/>
  <c r="U6" i="1" s="1"/>
  <c r="AF6" i="1" s="1" a="1"/>
  <c r="AF6" i="1" s="1"/>
  <c r="AF7" i="1" l="1" a="1"/>
  <c r="AF7" i="1" s="1"/>
  <c r="AE7" i="1" s="1"/>
  <c r="M175" i="1" a="1"/>
  <c r="M175" i="1" s="1"/>
  <c r="M76" i="1" a="1"/>
  <c r="M76" i="1" s="1"/>
  <c r="M172" i="1" a="1"/>
  <c r="M172" i="1" s="1"/>
  <c r="M80" i="1" a="1"/>
  <c r="M80" i="1" s="1"/>
  <c r="M176" i="1" a="1"/>
  <c r="M176" i="1" s="1"/>
  <c r="M171" i="1" a="1"/>
  <c r="M171" i="1" s="1"/>
  <c r="M77" i="1" a="1"/>
  <c r="M77" i="1" s="1"/>
  <c r="M173" i="1" a="1"/>
  <c r="M173" i="1" s="1"/>
  <c r="M82" i="1" a="1"/>
  <c r="M82" i="1" s="1"/>
  <c r="M178" i="1" a="1"/>
  <c r="M178" i="1" s="1"/>
  <c r="M83" i="1" a="1"/>
  <c r="M83" i="1" s="1"/>
  <c r="M179" i="1" a="1"/>
  <c r="M179" i="1" s="1"/>
  <c r="M81" i="1" a="1"/>
  <c r="M81" i="1" s="1"/>
  <c r="M78" i="1" a="1"/>
  <c r="M78" i="1" s="1"/>
  <c r="M174" i="1" a="1"/>
  <c r="M174" i="1" s="1"/>
  <c r="U46" i="2"/>
  <c r="C15" i="6"/>
  <c r="AF23" i="1" l="1" a="1"/>
  <c r="AF23" i="1" s="1"/>
  <c r="AE23" i="1" s="1"/>
  <c r="AE6" i="1"/>
  <c r="K188" i="1"/>
  <c r="D18" i="3" s="1"/>
  <c r="K11" i="3" s="1"/>
  <c r="F64" i="3"/>
  <c r="J64" i="3"/>
  <c r="K92" i="1"/>
  <c r="D11" i="3" s="1"/>
  <c r="J11" i="3" s="1"/>
  <c r="F20" i="2"/>
  <c r="D18" i="2"/>
  <c r="D17" i="2"/>
  <c r="F18" i="2"/>
  <c r="G27" i="6" s="1"/>
  <c r="E27" i="6" s="1"/>
  <c r="F17" i="2"/>
  <c r="G26" i="6" s="1"/>
  <c r="E26" i="6" s="1"/>
  <c r="F11" i="2"/>
  <c r="F19" i="2"/>
  <c r="G28" i="6" s="1"/>
  <c r="F15" i="2"/>
  <c r="F14" i="2"/>
  <c r="F12" i="2"/>
  <c r="H8" i="2"/>
  <c r="N28" i="1" s="1" a="1"/>
  <c r="N28" i="1" s="1"/>
  <c r="M28" i="1" s="1" a="1"/>
  <c r="M28" i="1" s="1"/>
  <c r="H10" i="2"/>
  <c r="H13" i="2"/>
  <c r="H16" i="2"/>
  <c r="H21" i="2"/>
  <c r="H22" i="2"/>
  <c r="H23" i="2"/>
  <c r="H24" i="2"/>
  <c r="H46" i="2"/>
  <c r="H37" i="2"/>
  <c r="H38" i="2"/>
  <c r="N6" i="1" s="1" a="1"/>
  <c r="N6" i="1" s="1"/>
  <c r="H39" i="2"/>
  <c r="H40" i="2"/>
  <c r="N7" i="1" s="1" a="1"/>
  <c r="N7" i="1" s="1"/>
  <c r="H42" i="2"/>
  <c r="H43" i="2"/>
  <c r="H44" i="2"/>
  <c r="H45" i="2"/>
  <c r="H47" i="2"/>
  <c r="H49" i="2"/>
  <c r="H50" i="2"/>
  <c r="H51" i="2"/>
  <c r="H6" i="2"/>
  <c r="F48" i="2"/>
  <c r="K15" i="3"/>
  <c r="K14" i="3"/>
  <c r="AF41" i="1" l="1"/>
  <c r="AF43" i="1" s="1"/>
  <c r="H48" i="2"/>
  <c r="G58" i="6"/>
  <c r="E58" i="6" s="1"/>
  <c r="H12" i="2"/>
  <c r="G21" i="6"/>
  <c r="H14" i="2"/>
  <c r="G23" i="6"/>
  <c r="E23" i="6" s="1"/>
  <c r="H20" i="2"/>
  <c r="G29" i="6"/>
  <c r="H15" i="2"/>
  <c r="G24" i="6"/>
  <c r="H11" i="2"/>
  <c r="G20" i="6"/>
  <c r="M6" i="1" a="1"/>
  <c r="M6" i="1" s="1"/>
  <c r="H19" i="2"/>
  <c r="N24" i="1" s="1" a="1"/>
  <c r="N24" i="1" s="1"/>
  <c r="B24" i="5" a="1"/>
  <c r="B24" i="5" s="1"/>
  <c r="C24" i="5" s="1"/>
  <c r="N51" i="1" s="1" a="1"/>
  <c r="N51" i="1" s="1"/>
  <c r="N102" i="1" a="1"/>
  <c r="N102" i="1" s="1"/>
  <c r="N104" i="1" a="1"/>
  <c r="N104" i="1" s="1"/>
  <c r="M104" i="1" s="1" a="1"/>
  <c r="M104" i="1" s="1"/>
  <c r="N8" i="1" a="1"/>
  <c r="N8" i="1" s="1"/>
  <c r="M8" i="1" s="1" a="1"/>
  <c r="M8" i="1" s="1"/>
  <c r="H17" i="2"/>
  <c r="H18" i="2"/>
  <c r="E8" i="3" l="1"/>
  <c r="J15" i="3" s="1"/>
  <c r="E9" i="3"/>
  <c r="J16" i="3" s="1"/>
  <c r="N185" i="1"/>
  <c r="N89" i="1"/>
  <c r="N56" i="1" a="1"/>
  <c r="N56" i="1" s="1"/>
  <c r="N53" i="1" a="1"/>
  <c r="N53" i="1" s="1"/>
  <c r="N57" i="1" a="1"/>
  <c r="N57" i="1" s="1"/>
  <c r="N54" i="1" a="1"/>
  <c r="N54" i="1" s="1"/>
  <c r="E7" i="3" l="1"/>
  <c r="D9" i="2" l="1"/>
  <c r="H9" i="2" s="1"/>
  <c r="T24" i="2" l="1"/>
  <c r="T23" i="2"/>
  <c r="X23" i="2" s="1"/>
  <c r="T22" i="2"/>
  <c r="T21" i="2"/>
  <c r="X21" i="2" s="1"/>
  <c r="T20" i="2"/>
  <c r="X20" i="2" s="1"/>
  <c r="T19" i="2"/>
  <c r="T18" i="2"/>
  <c r="T17" i="2"/>
  <c r="X17" i="2" s="1"/>
  <c r="T16" i="2"/>
  <c r="X16" i="2" s="1"/>
  <c r="T15" i="2"/>
  <c r="X15" i="2" s="1"/>
  <c r="T14" i="2"/>
  <c r="X14" i="2" s="1"/>
  <c r="T13" i="2"/>
  <c r="T12" i="2"/>
  <c r="X12" i="2" s="1"/>
  <c r="X11" i="2"/>
  <c r="T10" i="2"/>
  <c r="W52" i="2" s="1"/>
  <c r="T9" i="2"/>
  <c r="W48" i="2" s="1"/>
  <c r="T8" i="2"/>
  <c r="X8" i="2" s="1"/>
  <c r="X7" i="2"/>
  <c r="T6" i="2"/>
  <c r="X6" i="2" s="1"/>
  <c r="W46" i="2" l="1"/>
  <c r="W44" i="2"/>
  <c r="X18" i="2"/>
  <c r="W49" i="2"/>
  <c r="X19" i="2"/>
  <c r="W53" i="2"/>
  <c r="W55" i="2"/>
  <c r="X13" i="2"/>
  <c r="X22" i="2"/>
  <c r="M52" i="1" a="1"/>
  <c r="M52" i="1" s="1"/>
  <c r="N153" i="1" a="1"/>
  <c r="N153" i="1" s="1"/>
  <c r="K187" i="1" s="1"/>
  <c r="X10" i="2"/>
  <c r="X9" i="2"/>
  <c r="N119" i="1" a="1"/>
  <c r="N119" i="1" s="1"/>
  <c r="N19" i="2"/>
  <c r="N18" i="2"/>
  <c r="O24" i="1" a="1"/>
  <c r="O24" i="1" s="1"/>
  <c r="O7" i="1" a="1"/>
  <c r="O7" i="1" s="1"/>
  <c r="J61" i="3" l="1"/>
  <c r="K185" i="1"/>
  <c r="D15" i="3" s="1"/>
  <c r="M7" i="1" a="1"/>
  <c r="M7" i="1" s="1"/>
  <c r="M24" i="1" a="1"/>
  <c r="M24" i="1" s="1"/>
  <c r="N186" i="1"/>
  <c r="N23" i="1" a="1"/>
  <c r="N23" i="1" s="1"/>
  <c r="F61" i="3" s="1"/>
  <c r="M119" i="1" a="1"/>
  <c r="M119" i="1" s="1"/>
  <c r="O23" i="1" a="1"/>
  <c r="O23" i="1" s="1"/>
  <c r="K90" i="1" s="1"/>
  <c r="K8" i="3" l="1"/>
  <c r="N90" i="1"/>
  <c r="K89" i="1"/>
  <c r="D8" i="3" s="1"/>
  <c r="K186" i="1"/>
  <c r="J63" i="3"/>
  <c r="N52" i="1" a="1"/>
  <c r="N52" i="1" s="1"/>
  <c r="K91" i="1" s="1"/>
  <c r="J62" i="3"/>
  <c r="F62" i="3"/>
  <c r="M23" i="1" a="1"/>
  <c r="M23" i="1" s="1"/>
  <c r="M102" i="1" a="1"/>
  <c r="M102" i="1" s="1"/>
  <c r="F63" i="3" l="1"/>
  <c r="D10" i="3"/>
  <c r="J10" i="3" s="1"/>
  <c r="J14" i="3"/>
  <c r="J8" i="3"/>
  <c r="D17" i="3"/>
  <c r="K10" i="3" s="1"/>
  <c r="D16" i="3"/>
  <c r="D9" i="3"/>
  <c r="D14" i="3" l="1"/>
  <c r="K7" i="3" s="1"/>
  <c r="D7" i="3"/>
  <c r="J9" i="3"/>
  <c r="K93" i="1"/>
  <c r="K94" i="1" s="1"/>
  <c r="K189" i="1"/>
  <c r="K190" i="1" s="1"/>
  <c r="K9" i="3"/>
  <c r="J7"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Lahtinen, Maiju</author>
  </authors>
  <commentList>
    <comment ref="C6" authorId="0" shapeId="0" xr:uid="{B27D8249-75B9-45E1-8FC7-4069606D9BDD}">
      <text>
        <r>
          <rPr>
            <sz val="9"/>
            <color indexed="81"/>
            <rFont val="Tahoma"/>
            <family val="2"/>
          </rPr>
          <t xml:space="preserve">Osittain uusiomateriaalia sisältävä asfalttibetoni on tyypillinen Suomessa
</t>
        </r>
      </text>
    </comment>
    <comment ref="F6" authorId="0" shapeId="0" xr:uid="{F6D69597-D517-4DDC-9C9B-7441DFA069D2}">
      <text>
        <r>
          <rPr>
            <b/>
            <sz val="9"/>
            <color indexed="81"/>
            <rFont val="Tahoma"/>
            <family val="2"/>
          </rPr>
          <t>Rakentamisen päästötietokanta, Asphalt concrete</t>
        </r>
      </text>
    </comment>
    <comment ref="F7" authorId="0" shapeId="0" xr:uid="{7B0C3109-207E-4039-9F21-7307C6051807}">
      <text>
        <r>
          <rPr>
            <b/>
            <sz val="9"/>
            <color indexed="81"/>
            <rFont val="Tahoma"/>
            <family val="2"/>
          </rPr>
          <t>Rakentamisen päästötietokanta, Asphalt concrete</t>
        </r>
      </text>
    </comment>
    <comment ref="F8" authorId="0" shapeId="0" xr:uid="{991A16F5-5E12-4EED-A64D-3640880A7322}">
      <text>
        <r>
          <rPr>
            <b/>
            <sz val="9"/>
            <color indexed="81"/>
            <rFont val="Tahoma"/>
            <family val="2"/>
          </rPr>
          <t>Rakentamisen päästötietokanta, Asphalt concrete</t>
        </r>
      </text>
    </comment>
    <comment ref="D9" authorId="0" shapeId="0" xr:uid="{DC02AF79-0B9B-4480-A607-FB03CBD0839D}">
      <text>
        <r>
          <rPr>
            <b/>
            <sz val="9"/>
            <color indexed="81"/>
            <rFont val="Tahoma"/>
            <family val="2"/>
          </rPr>
          <t>C3, eli sisältää jätteen käsittelyn (murskauksen)</t>
        </r>
      </text>
    </comment>
    <comment ref="D10" authorId="0" shapeId="0" xr:uid="{67D7BCB2-D8B5-409A-A209-CC5151C939B1}">
      <text>
        <r>
          <rPr>
            <b/>
            <sz val="9"/>
            <color indexed="81"/>
            <rFont val="Tahoma"/>
            <family val="2"/>
          </rPr>
          <t>Lähteen arvion mukaan geopolymeerien hiilijalanjälki voi olla jopa 80 % pienempi kuin tavallisen betonin. Tehtiin konservatiivinen arvio niin että arvioitiin hiilijalanjälki tavallisesta betonista 60 % pienemmäksi.
(Lähde: https://www.ril.fi/fi/rakennustekniikka/betonia-teollisuuden-sivuvirroista.html)</t>
        </r>
      </text>
    </comment>
    <comment ref="F10" authorId="0" shapeId="0" xr:uid="{865BC933-75CA-45B4-B44F-2E2A4A4D32BA}">
      <text>
        <r>
          <rPr>
            <b/>
            <sz val="9"/>
            <color indexed="81"/>
            <rFont val="Tahoma"/>
            <family val="2"/>
          </rPr>
          <t>Tiheys arvioitu samaksi mitä betonin</t>
        </r>
      </text>
    </comment>
    <comment ref="F11" authorId="0" shapeId="0" xr:uid="{96694AFB-0B3B-4B6E-9E00-161BF4F03886}">
      <text>
        <r>
          <rPr>
            <b/>
            <sz val="9"/>
            <color indexed="81"/>
            <rFont val="Tahoma"/>
            <family val="2"/>
          </rPr>
          <t>Tevella, käyttöturvallisuustiedote: Kalkki, poltettu. Saatavilla: https://www.tevella.fi/media/catalog/product/5/5/557213_KTT_fin.pdf</t>
        </r>
      </text>
    </comment>
    <comment ref="F12" authorId="0" shapeId="0" xr:uid="{945803AB-49AE-43F9-A4D7-FD95482D7211}">
      <text>
        <r>
          <rPr>
            <b/>
            <sz val="9"/>
            <color indexed="81"/>
            <rFont val="Tahoma"/>
            <family val="2"/>
          </rPr>
          <t xml:space="preserve">Suomen Erityisjäte, 2018. Jätteenpolton pohjakuona. Ohje materiaalin hyödyntämiseen maarakentamisessa. 2. Uudistettu painos. Saatavilla: https://www.erityisjate.fi/client/erityisjate/userfiles/suomen-erityisjate-kuonaohje-a5-20180301-vs2.pdf </t>
        </r>
      </text>
    </comment>
    <comment ref="N12" authorId="0" shapeId="0" xr:uid="{8519711C-E306-47B4-8798-EB70CFF93F57}">
      <text>
        <r>
          <rPr>
            <b/>
            <sz val="9"/>
            <color indexed="81"/>
            <rFont val="Tahoma"/>
            <family val="2"/>
          </rPr>
          <t>27,2 (LNG/LBG kulutus per 100 km) * 0 (biokaasun päästö kgCO2e/kg) / 19 t. Laskennassa otettu huomioon vain polttoaineen poltonpäästöt.</t>
        </r>
      </text>
    </comment>
    <comment ref="D13" authorId="0" shapeId="0" xr:uid="{35401B67-9783-4757-8F48-3FC70435C138}">
      <text>
        <r>
          <rPr>
            <b/>
            <sz val="9"/>
            <color indexed="81"/>
            <rFont val="Tahoma"/>
            <family val="2"/>
          </rPr>
          <t>Kompostointiprosessin hiilijalanjälki. Lähde: https://www.smts.fi/MTP_julkaisu_2014/MTP_julkaisu_2014/Posterit/042Ruuskanen_Kierratysmateriaaleja_hyodyntavien_kasvualustojen_tuotantoprosessin_ymparisto-ja_yhteiskunnallinen.pdf</t>
        </r>
      </text>
    </comment>
    <comment ref="F13" authorId="0" shapeId="0" xr:uid="{19774D1E-6B7A-4417-B313-F20D4ED544AA}">
      <text>
        <r>
          <rPr>
            <b/>
            <sz val="9"/>
            <color indexed="81"/>
            <rFont val="Tahoma"/>
            <family val="2"/>
          </rPr>
          <t>Hyvin maatunut turve. Lähde: Kesäniemi O, 2009. Rahkaturvemaiden hydrauliset ominaisuudet. Lisensiaatin työ. Saatavilla: https://www.salaojayhdistys.fi/wp-content/uploads/2018/10/Kes%c3%a4niemi_lis.ty%c3%b6_TKK_2009.pdf</t>
        </r>
      </text>
    </comment>
    <comment ref="N13" authorId="0" shapeId="0" xr:uid="{FD2B37E5-3ED9-4100-BE9A-351CD160090C}">
      <text>
        <r>
          <rPr>
            <b/>
            <sz val="9"/>
            <color indexed="81"/>
            <rFont val="Tahoma"/>
            <family val="2"/>
          </rPr>
          <t>27,2 (LNG/LBG kulutus per 100 km) * 0 (biokaasun päästö kgCO2e/kg) / 47,5 t. Laskennassa otettu huomioon polttoaineen polton päästöt.</t>
        </r>
      </text>
    </comment>
    <comment ref="F14" authorId="0" shapeId="0" xr:uid="{11764A9A-0F82-42F0-84E0-8E94FEED6709}">
      <text>
        <r>
          <rPr>
            <b/>
            <sz val="9"/>
            <color indexed="81"/>
            <rFont val="Tahoma"/>
            <family val="2"/>
          </rPr>
          <t>1120 kg/m3 (FHWA, 2016. Waste glass. Saatavilla: https://www.fhwa.dot.gov/publications/research/infrastructure/structures/97148/wg3.cfm).
1850 kg/m3 (RMRC, 2021. Waste glass - Material Description. Saatavilla: https://rmrc.wisc.edu/ug-mat-waste-glass/)</t>
        </r>
      </text>
    </comment>
    <comment ref="F15" authorId="0" shapeId="0" xr:uid="{09B6D8CE-FA9B-47A1-8792-198CB9DEA3C8}">
      <text>
        <r>
          <rPr>
            <b/>
            <sz val="9"/>
            <color indexed="81"/>
            <rFont val="Tahoma"/>
            <family val="2"/>
          </rPr>
          <t>Ramboll, 2012. Tuhkarakentamisen käsikirja. Saatavilla: https://www.uusiomaarakentaminen.fi/sites/default/files/images/2012--Ramboll--Tuhkarakentamisen_kasikirja.pdf</t>
        </r>
      </text>
    </comment>
    <comment ref="F16" authorId="0" shapeId="0" xr:uid="{2C919211-E252-499D-9599-321272740EE3}">
      <text>
        <r>
          <rPr>
            <b/>
            <sz val="9"/>
            <color indexed="81"/>
            <rFont val="Tahoma"/>
            <family val="2"/>
          </rPr>
          <t>CaCO3 tiheys: https://pubchem.ncbi.nlm.nih.gov/compound/Calcium-carbonate#section=Density</t>
        </r>
      </text>
    </comment>
    <comment ref="D17" authorId="0" shapeId="0" xr:uid="{CB645341-4A92-4971-8C53-95A846ED2239}">
      <text>
        <r>
          <rPr>
            <b/>
            <sz val="9"/>
            <color indexed="81"/>
            <rFont val="Tahoma"/>
            <family val="2"/>
          </rPr>
          <t>Destia, 2020. Perinteisen tierakenteen ja OKTO-tuoterakenteen hiilijalanjälkivertailu. Laskenta tehty OneClick LCA-ohjelmalla, eikä varmuutta mistä OKTO-tuotteen päästökerroin rakentuu. Saatavilla: https://www.destia.fi/media/tiedostot/pdf-tiedostot/co2e-paastolask.vert.-diat-case-vt4-viantie-maksniemi-destia_sto.pdf</t>
        </r>
      </text>
    </comment>
    <comment ref="F17" authorId="0" shapeId="0" xr:uid="{348CAF83-AE50-4154-8812-BEE9E7FEDEE8}">
      <text>
        <r>
          <rPr>
            <b/>
            <sz val="9"/>
            <color indexed="81"/>
            <rFont val="Tahoma"/>
            <family val="2"/>
          </rPr>
          <t>Destia, 2019. OKTO-rakennustuotteiden suunnittelu- ja rakentamisohje tie-, katu- ja maarakenteissa. Kuivairtotiheys. Saatavilla: https://www.destia.fi/media/tiedostot/pdf-tiedostot/okto-suunnittelu-ja-mitoitusohje_13022020.pdf</t>
        </r>
      </text>
    </comment>
    <comment ref="D18" authorId="0" shapeId="0" xr:uid="{4D4B884C-E068-4CB6-9677-9E1D085A14E2}">
      <text>
        <r>
          <rPr>
            <b/>
            <sz val="9"/>
            <color indexed="81"/>
            <rFont val="Tahoma"/>
            <family val="2"/>
          </rPr>
          <t>Destia, 2020. Perinteisen tierakenteen ja OKTO-tuoterakenteen hiilijalanjälkivertailu. Laskenta tehty OneClick LCA-ohjelmalla, eikä varmuutta mistä OKTO-tuotteen päästökerroin rakentuu. Saatavilla: https://www.destia.fi/media/tiedostot/pdf-tiedostot/co2e-paastolask.vert.-diat-case-vt4-viantie-maksniemi-destia_sto.pdf</t>
        </r>
      </text>
    </comment>
    <comment ref="F18" authorId="0" shapeId="0" xr:uid="{FEC40694-83E2-461E-BC77-4349F44012A9}">
      <text>
        <r>
          <rPr>
            <b/>
            <sz val="9"/>
            <color indexed="81"/>
            <rFont val="Tahoma"/>
            <family val="2"/>
          </rPr>
          <t>Destia, 2019. OKTO-rakennustuotteiden suunnittelu- ja rakentamisohje tie-, katu- ja maarakenteissa. Kuivairtotiheys. Saatavilla: https://www.destia.fi/media/tiedostot/pdf-tiedostot/okto-suunnittelu-ja-mitoitusohje_13022020.pdf</t>
        </r>
      </text>
    </comment>
    <comment ref="F19" authorId="0" shapeId="0" xr:uid="{DE25C639-33C2-42ED-B640-81BABF26438A}">
      <text>
        <r>
          <rPr>
            <b/>
            <sz val="9"/>
            <color indexed="81"/>
            <rFont val="Tahoma"/>
            <family val="2"/>
          </rPr>
          <t>Ramboll, 2012. Tuhkarakentamisen käsikirja. Saatavilla: https://www.uusiomaarakentaminen.fi/sites/default/files/images/2012--Ramboll--Tuhkarakentamisen_kasikirja.pdf</t>
        </r>
      </text>
    </comment>
    <comment ref="D20" authorId="0" shapeId="0" xr:uid="{EE49EA88-7B8A-4B9B-9EA3-1B18A43569AE}">
      <text>
        <r>
          <rPr>
            <b/>
            <sz val="9"/>
            <color indexed="81"/>
            <rFont val="Tahoma"/>
            <family val="2"/>
          </rPr>
          <t>Pehlken A. &amp; Roy G., 2006. Identifying LCA-elements in scrap tire recycling.
1,2 kWh/kg (Energy consumend in the process of grinding scrap tires into crumb rubber (0,5 to 1,5 mm) *
0,23241 kgCO2/kWh (Sähkön jäännösjakauma 2020, Energiavirasto)</t>
        </r>
      </text>
    </comment>
    <comment ref="F20" authorId="0" shapeId="0" xr:uid="{A518232B-510F-498F-B14D-0B1FCC67A6E5}">
      <text>
        <r>
          <rPr>
            <b/>
            <sz val="9"/>
            <color indexed="81"/>
            <rFont val="Tahoma"/>
            <family val="2"/>
          </rPr>
          <t xml:space="preserve">Wastewise.  Rengasleike-esite. Saatavilla: https://www.wastewise.fi/sisalto/uploads/WasteWise-Rengasleike-esite-04-2019.pdf </t>
        </r>
      </text>
    </comment>
    <comment ref="N20" authorId="0" shapeId="0" xr:uid="{D4BD65B6-9D19-4FD4-9AE6-6CA8773B83A4}">
      <text>
        <r>
          <rPr>
            <b/>
            <sz val="9"/>
            <color indexed="81"/>
            <rFont val="Tahoma"/>
            <family val="2"/>
          </rPr>
          <t>0,027 kWh/tkm (Lähde Lipasto) * 0,2349 kgCO2/kWh (Energiavirasto)</t>
        </r>
      </text>
    </comment>
    <comment ref="C21" authorId="0" shapeId="0" xr:uid="{F1653240-CCEA-4DBD-9F80-75D983C0E741}">
      <text>
        <r>
          <rPr>
            <sz val="9"/>
            <color indexed="81"/>
            <rFont val="Tahoma"/>
            <family val="2"/>
          </rPr>
          <t>Voi olla hiekkaa tai savea</t>
        </r>
      </text>
    </comment>
    <comment ref="F21" authorId="0" shapeId="0" xr:uid="{18011116-BB13-4397-A1C3-31B460D6AA59}">
      <text>
        <r>
          <rPr>
            <b/>
            <sz val="9"/>
            <color indexed="81"/>
            <rFont val="Tahoma"/>
            <family val="2"/>
          </rPr>
          <t xml:space="preserve">Arvioitu tiheys lähteen pohjalta: YM, 2015. Sedimenttien ruoppaus ja läjitysohje. </t>
        </r>
      </text>
    </comment>
    <comment ref="N21" authorId="0" shapeId="0" xr:uid="{7E2AC6FE-622B-438A-8B11-7F02FCACD1E2}">
      <text>
        <r>
          <rPr>
            <b/>
            <sz val="9"/>
            <color indexed="81"/>
            <rFont val="Tahoma"/>
            <family val="2"/>
          </rPr>
          <t>0,027 kWh/tkm (Lähde Lipasto) * 0,2349 kgCO2/kWh (Energiavirasto)</t>
        </r>
      </text>
    </comment>
    <comment ref="D23" authorId="0" shapeId="0" xr:uid="{61E03A7F-DC5D-4ACA-A271-87388E4309F7}">
      <text>
        <r>
          <rPr>
            <b/>
            <sz val="9"/>
            <color indexed="81"/>
            <rFont val="Tahoma"/>
            <family val="2"/>
          </rPr>
          <t>C3, eli sisältää jätteen käsittelyn (murskauksen)</t>
        </r>
      </text>
    </comment>
    <comment ref="F23" authorId="0" shapeId="0" xr:uid="{C34000EE-930C-499F-9534-2165E545CF4D}">
      <text>
        <r>
          <rPr>
            <b/>
            <sz val="9"/>
            <color indexed="81"/>
            <rFont val="Tahoma"/>
            <family val="2"/>
          </rPr>
          <t xml:space="preserve">Arvioidaan samaksi mitä betonijätemurske </t>
        </r>
      </text>
    </comment>
    <comment ref="D24" authorId="0" shapeId="0" xr:uid="{3EC0D427-5AF7-4FAB-82DC-BF745EDD887F}">
      <text>
        <r>
          <rPr>
            <sz val="9"/>
            <color indexed="81"/>
            <rFont val="Tahoma"/>
            <family val="2"/>
          </rPr>
          <t>Konservatiivinen arvo rakentamisluvan hakemiseen, GWP (A1-A3)</t>
        </r>
      </text>
    </comment>
    <comment ref="F24" authorId="0" shapeId="0" xr:uid="{9CBD5FB7-805C-4472-885A-974C9024AFB3}">
      <text>
        <r>
          <rPr>
            <b/>
            <sz val="9"/>
            <color indexed="81"/>
            <rFont val="Tahoma"/>
            <family val="2"/>
          </rPr>
          <t xml:space="preserve">Foamit Vaahtolasi, suoritustasoilmoitus. https://www.foamit.fi/wp-content/uploads/2016/10/DOP_FOAMIT_20_15-04_ID_2413.pdf </t>
        </r>
      </text>
    </comment>
    <comment ref="V24" authorId="0" shapeId="0" xr:uid="{26074076-5838-48B5-AEAD-8E7F70B6D6A0}">
      <text>
        <r>
          <rPr>
            <b/>
            <sz val="9"/>
            <color indexed="81"/>
            <rFont val="Tahoma"/>
            <family val="2"/>
          </rPr>
          <t>DEFRA 2022. Conversion factors 2022. LPG.</t>
        </r>
      </text>
    </comment>
    <comment ref="F25" authorId="0" shapeId="0" xr:uid="{5EF6E335-C4E3-493C-AFF5-E65575F6F61B}">
      <text>
        <r>
          <rPr>
            <b/>
            <sz val="9"/>
            <color indexed="81"/>
            <rFont val="Tahoma"/>
            <family val="2"/>
          </rPr>
          <t>Keskimäärin maalajien tiheyden keskiarvot ja mediaanit lähellä arvoa 2,65 t/m3. Lähde: https://core.ac.uk/download/pdf/14927376.pdf</t>
        </r>
      </text>
    </comment>
    <comment ref="F36" authorId="0" shapeId="0" xr:uid="{91BD68EF-78CB-4647-A80A-E84A154B1178}">
      <text>
        <r>
          <rPr>
            <b/>
            <sz val="9"/>
            <color indexed="81"/>
            <rFont val="Tahoma"/>
            <family val="2"/>
          </rPr>
          <t>Rakentamisen päästötietokanta, Asphalt concrete</t>
        </r>
      </text>
    </comment>
    <comment ref="C37" authorId="0" shapeId="0" xr:uid="{F4DEE1DC-5CD5-45A1-A8D6-A29272F07689}">
      <text>
        <r>
          <rPr>
            <b/>
            <sz val="9"/>
            <color indexed="81"/>
            <rFont val="Tahoma"/>
            <family val="2"/>
          </rPr>
          <t>Neitseellinen osuus 97 %</t>
        </r>
      </text>
    </comment>
    <comment ref="D37" authorId="0" shapeId="0" xr:uid="{250776AE-1EA8-4035-B28C-1390C4D2160B}">
      <text>
        <r>
          <rPr>
            <sz val="9"/>
            <color indexed="81"/>
            <rFont val="Tahoma"/>
            <family val="2"/>
          </rPr>
          <t>Konservatiivinen arvo rakentamisluvan hakemiseen, GWP (A1-A3)</t>
        </r>
      </text>
    </comment>
    <comment ref="C38" authorId="0" shapeId="0" xr:uid="{6629D772-486D-4A1D-8C17-F70B02B2F972}">
      <text>
        <r>
          <rPr>
            <sz val="9"/>
            <color indexed="81"/>
            <rFont val="Tahoma"/>
            <family val="2"/>
          </rPr>
          <t xml:space="preserve">Neitseellinen osuus 96 % </t>
        </r>
      </text>
    </comment>
    <comment ref="D38" authorId="0" shapeId="0" xr:uid="{E501EED4-1CD0-424D-BD7C-1EF3897E6B71}">
      <text>
        <r>
          <rPr>
            <sz val="9"/>
            <color indexed="81"/>
            <rFont val="Tahoma"/>
            <family val="2"/>
          </rPr>
          <t>Konservatiivinen arvo rakentamisluvan hakemiseen, GWP (A1-A3)</t>
        </r>
      </text>
    </comment>
    <comment ref="C39" authorId="0" shapeId="0" xr:uid="{AB28676F-857C-42E2-A7E1-25993EA69A94}">
      <text>
        <r>
          <rPr>
            <b/>
            <sz val="9"/>
            <color indexed="81"/>
            <rFont val="Tahoma"/>
            <family val="2"/>
          </rPr>
          <t>Neitseellinen osuus 95 %</t>
        </r>
      </text>
    </comment>
    <comment ref="D39" authorId="0" shapeId="0" xr:uid="{C235F6D3-2FB1-4AEE-AC57-2A6371F97519}">
      <text>
        <r>
          <rPr>
            <sz val="9"/>
            <color indexed="81"/>
            <rFont val="Tahoma"/>
            <family val="2"/>
          </rPr>
          <t>Konservatiivinen arvo rakentamisluvan hakemiseen, GWP (A1-A3)</t>
        </r>
      </text>
    </comment>
    <comment ref="F40" authorId="0" shapeId="0" xr:uid="{FE3729D5-C0B2-4B01-90E8-D649051AECB3}">
      <text>
        <r>
          <rPr>
            <b/>
            <sz val="9"/>
            <color indexed="81"/>
            <rFont val="Tahoma"/>
            <family val="2"/>
          </rPr>
          <t>Rakentamisen päästötietokanta, Geotextile, PP-based</t>
        </r>
      </text>
    </comment>
    <comment ref="F41" authorId="0" shapeId="0" xr:uid="{E981BD65-2DCC-46CC-ACCA-D9E256FABDA7}">
      <text>
        <r>
          <rPr>
            <b/>
            <sz val="9"/>
            <color indexed="81"/>
            <rFont val="Tahoma"/>
            <family val="2"/>
          </rPr>
          <t>Tevella, käyttöturvallisuustiedote: Kalkki, poltettu. Saatavilla: https://www.tevella.fi/media/catalog/product/5/5/557213_KTT_fin.pdf</t>
        </r>
      </text>
    </comment>
    <comment ref="D42" authorId="0" shapeId="0" xr:uid="{2C2CB4EE-A605-4FD7-BD6E-991318E3A4D7}">
      <text>
        <r>
          <rPr>
            <sz val="9"/>
            <color indexed="81"/>
            <rFont val="Tahoma"/>
            <family val="2"/>
          </rPr>
          <t>Konservatiivinen arvo rakentamisluvan hakemiseen, GWP (A1-A3)</t>
        </r>
      </text>
    </comment>
    <comment ref="F42" authorId="0" shapeId="0" xr:uid="{522F5BE9-F3FD-42B2-9CCD-C81FAFAFE443}">
      <text>
        <r>
          <rPr>
            <b/>
            <sz val="9"/>
            <color indexed="81"/>
            <rFont val="Tahoma"/>
            <family val="2"/>
          </rPr>
          <t>Rakentamisen päästötietokanta, Autoclaved aerated concrete, reinforced</t>
        </r>
      </text>
    </comment>
    <comment ref="D43" authorId="0" shapeId="0" xr:uid="{534389DB-6DDF-4730-A49B-263F479F2546}">
      <text>
        <r>
          <rPr>
            <sz val="9"/>
            <color indexed="81"/>
            <rFont val="Tahoma"/>
            <family val="2"/>
          </rPr>
          <t>Konservatiivinen arvo rakentamisluvan hakemiseen, GWP (A1-A3)</t>
        </r>
      </text>
    </comment>
    <comment ref="F43" authorId="0" shapeId="0" xr:uid="{C5369834-B428-411B-98A3-266A2C9FFD45}">
      <text>
        <r>
          <rPr>
            <b/>
            <sz val="9"/>
            <color indexed="81"/>
            <rFont val="Tahoma"/>
            <family val="2"/>
          </rPr>
          <t>Rakentamisen päästötietokanta, Autoclaved aerated concrete, masonry unit, reinforced</t>
        </r>
      </text>
    </comment>
    <comment ref="D44" authorId="0" shapeId="0" xr:uid="{512FF5B8-9399-43AC-95D5-587F44579B7D}">
      <text>
        <r>
          <rPr>
            <sz val="9"/>
            <color indexed="81"/>
            <rFont val="Tahoma"/>
            <family val="2"/>
          </rPr>
          <t>Konservatiivinen arvo rakentamisluvan hakemiseen, GWP (A1-A3)</t>
        </r>
      </text>
    </comment>
    <comment ref="F44" authorId="0" shapeId="0" xr:uid="{5C28FC40-ACD1-4901-B372-DCDF27A2D30F}">
      <text>
        <r>
          <rPr>
            <b/>
            <sz val="9"/>
            <color indexed="81"/>
            <rFont val="Tahoma"/>
            <family val="2"/>
          </rPr>
          <t>Rakentamisen päästötietokanta, Expanded clay crushed aggregate</t>
        </r>
      </text>
    </comment>
    <comment ref="W44" authorId="0" shapeId="0" xr:uid="{50EA36F8-9C49-44C7-8FA0-BD01DB244B5F}">
      <text>
        <r>
          <rPr>
            <b/>
            <sz val="9"/>
            <color indexed="81"/>
            <rFont val="Tahoma"/>
            <family val="2"/>
          </rPr>
          <t>Kilometreiksi oletettu 1 km</t>
        </r>
      </text>
    </comment>
    <comment ref="D45" authorId="0" shapeId="0" xr:uid="{4B57EA00-0365-4CF5-A431-9B949B77F80D}">
      <text>
        <r>
          <rPr>
            <sz val="9"/>
            <color indexed="81"/>
            <rFont val="Tahoma"/>
            <family val="2"/>
          </rPr>
          <t>Konservatiivinen arvo rakentamisluvan hakemiseen, GWP (A1-A3)</t>
        </r>
      </text>
    </comment>
    <comment ref="F45" authorId="0" shapeId="0" xr:uid="{42E79F0E-E4DF-409E-92DE-6CB22F0ED209}">
      <text>
        <r>
          <rPr>
            <b/>
            <sz val="9"/>
            <color indexed="81"/>
            <rFont val="Tahoma"/>
            <family val="2"/>
          </rPr>
          <t>Rakentamisen päästötietokanta, Crushed rock</t>
        </r>
      </text>
    </comment>
    <comment ref="D46" authorId="0" shapeId="0" xr:uid="{08373026-831D-4922-81FA-D4B0EED960FA}">
      <text>
        <r>
          <rPr>
            <sz val="9"/>
            <color indexed="81"/>
            <rFont val="Tahoma"/>
            <family val="2"/>
          </rPr>
          <t>Konservatiivinen arvo rakentamisluvan hakemiseen, GWP (A1-A3)</t>
        </r>
      </text>
    </comment>
    <comment ref="F46" authorId="0" shapeId="0" xr:uid="{747FD132-DF24-4F73-A35E-E218D4D6649D}">
      <text>
        <r>
          <rPr>
            <b/>
            <sz val="9"/>
            <color indexed="81"/>
            <rFont val="Tahoma"/>
            <family val="2"/>
          </rPr>
          <t>Rakentamisen päästötietokanta, Natural stone, rectangular paving stone</t>
        </r>
      </text>
    </comment>
    <comment ref="W46" authorId="0" shapeId="0" xr:uid="{C805CAA8-6958-44EE-A27F-96CB98331C73}">
      <text>
        <r>
          <rPr>
            <b/>
            <sz val="9"/>
            <color indexed="81"/>
            <rFont val="Tahoma"/>
            <family val="2"/>
          </rPr>
          <t>Kilometreiksi oletettu 1 km</t>
        </r>
      </text>
    </comment>
    <comment ref="D47" authorId="0" shapeId="0" xr:uid="{25ECDE49-7528-4D39-887D-636D9FB1044C}">
      <text>
        <r>
          <rPr>
            <sz val="9"/>
            <color indexed="81"/>
            <rFont val="Tahoma"/>
            <family val="2"/>
          </rPr>
          <t>Konservatiivinen arvo rakentamisluvan hakemiseen, GWP (A1-A3)</t>
        </r>
      </text>
    </comment>
    <comment ref="F47" authorId="0" shapeId="0" xr:uid="{EB793B37-B52C-4C6F-8AAD-6E8CB74939BF}">
      <text>
        <r>
          <rPr>
            <b/>
            <sz val="9"/>
            <color indexed="81"/>
            <rFont val="Tahoma"/>
            <family val="2"/>
          </rPr>
          <t>Rakentamisen päästötietokanta, Natural stone, solid curb stone</t>
        </r>
      </text>
    </comment>
    <comment ref="D48" authorId="0" shapeId="0" xr:uid="{39B9AB7D-9DCF-4D5D-9E43-48574502DEBE}">
      <text>
        <r>
          <rPr>
            <b/>
            <sz val="9"/>
            <color indexed="81"/>
            <rFont val="Tahoma"/>
            <family val="2"/>
          </rPr>
          <t>Environmental Agency, 2014. Carbon calculator. HDPE Pipe</t>
        </r>
      </text>
    </comment>
    <comment ref="F48" authorId="0" shapeId="0" xr:uid="{A283400B-BE8B-40F9-9007-144978D12E5E}">
      <text>
        <r>
          <rPr>
            <b/>
            <sz val="9"/>
            <color indexed="81"/>
            <rFont val="Tahoma"/>
            <family val="2"/>
          </rPr>
          <t>Environmental Agency, 2014. Carbon calculator. HDPE Pipe</t>
        </r>
      </text>
    </comment>
    <comment ref="D49" authorId="0" shapeId="0" xr:uid="{21ADDD61-4BD9-4192-8F6B-9CFFEF3CF56D}">
      <text>
        <r>
          <rPr>
            <sz val="9"/>
            <color indexed="81"/>
            <rFont val="Tahoma"/>
            <family val="2"/>
          </rPr>
          <t>Konservatiivinen arvo rakentamisluvan hakemiseen, GWP (A1-A3)</t>
        </r>
      </text>
    </comment>
    <comment ref="F49" authorId="0" shapeId="0" xr:uid="{A6F5CC8B-25D7-48CA-9495-FB2EA67A8CF9}">
      <text>
        <r>
          <rPr>
            <b/>
            <sz val="9"/>
            <color indexed="81"/>
            <rFont val="Tahoma"/>
            <family val="2"/>
          </rPr>
          <t>Rakentamisen päästötietokanta, Gravel and sand</t>
        </r>
      </text>
    </comment>
    <comment ref="D50" authorId="0" shapeId="0" xr:uid="{BB84F98C-3D4B-4DD8-AAD1-7417F99BF201}">
      <text>
        <r>
          <rPr>
            <sz val="9"/>
            <color indexed="81"/>
            <rFont val="Tahoma"/>
            <family val="2"/>
          </rPr>
          <t>Konservatiivinen arvo rakentamisluvan hakemiseen, GWP (A1-A3)</t>
        </r>
      </text>
    </comment>
    <comment ref="F50" authorId="0" shapeId="0" xr:uid="{0BBA9AC0-04DD-4C19-BEFB-5ECDD686C585}">
      <text>
        <r>
          <rPr>
            <b/>
            <sz val="9"/>
            <color indexed="81"/>
            <rFont val="Tahoma"/>
            <family val="2"/>
          </rPr>
          <t>Laine M. Rakennustieto, Tiilirakenteiden suunnittelu. Poltetut tiilet. Saatavilla: https://www.rakennustieto.fi/Downloads/RK/RK98s402.pdf</t>
        </r>
      </text>
    </comment>
    <comment ref="D51" authorId="0" shapeId="0" xr:uid="{4493DF79-4EDA-4251-B87A-DACF0150D23E}">
      <text>
        <r>
          <rPr>
            <sz val="9"/>
            <color indexed="81"/>
            <rFont val="Tahoma"/>
            <family val="2"/>
          </rPr>
          <t>Konservatiivinen arvo rakentamisluvan hakemiseen, GWP (A1-A3)</t>
        </r>
      </text>
    </comment>
    <comment ref="F51" authorId="0" shapeId="0" xr:uid="{C1C76B3F-CB29-408B-8AAC-3F869C59ED60}">
      <text>
        <r>
          <rPr>
            <b/>
            <sz val="9"/>
            <color indexed="81"/>
            <rFont val="Tahoma"/>
            <family val="2"/>
          </rPr>
          <t>Laine M. Rakennustieto, Tiilirakenteiden suunnittelu. Poltetut tiilet. Saatavilla: https://www.rakennustieto.fi/Downloads/RK/RK98s402.pdf</t>
        </r>
      </text>
    </comment>
    <comment ref="T62" authorId="0" shapeId="0" xr:uid="{A5BE8B3B-7628-43EE-8853-8363FAAE43ED}">
      <text>
        <r>
          <rPr>
            <sz val="9"/>
            <color indexed="81"/>
            <rFont val="Tahoma"/>
            <family val="2"/>
          </rPr>
          <t xml:space="preserve">
150 m2 (kentän/pohjan pinta-ala) * 0,2 m (syvyys) * 2,65 t/m3 (maan tiheys)</t>
        </r>
      </text>
    </comment>
    <comment ref="T68" authorId="0" shapeId="0" xr:uid="{E36ACD87-C24D-4E93-B1D2-7013D3DCDBF8}">
      <text>
        <r>
          <rPr>
            <b/>
            <sz val="9"/>
            <color indexed="81"/>
            <rFont val="Tahoma"/>
            <family val="2"/>
          </rPr>
          <t>1 t / 100 t/h</t>
        </r>
      </text>
    </comment>
    <comment ref="T74" authorId="0" shapeId="0" xr:uid="{8E818394-5AA9-4B13-989C-E9860D86135E}">
      <text>
        <r>
          <rPr>
            <b/>
            <sz val="9"/>
            <color indexed="81"/>
            <rFont val="Tahoma"/>
            <family val="2"/>
          </rPr>
          <t>Arvioidaan asfaltin syvyydeksi 10 cm</t>
        </r>
      </text>
    </comment>
    <comment ref="T83" authorId="0" shapeId="0" xr:uid="{026312F9-6F98-4675-867D-088F66640313}">
      <text>
        <r>
          <rPr>
            <b/>
            <sz val="9"/>
            <color indexed="81"/>
            <rFont val="Tahoma"/>
            <family val="2"/>
          </rPr>
          <t>38 t/h on kalliomurskeen seulontaan kulunut aika, 400 t/h on valmistajan ilmoittama kapasiteetti seulonnalle, mikä on kuitenkin käytännössä paljon pienempi (alle puolet kapasiteetista).
Multaisen/soraisen maa-aineksen tapauksessa käsittely voi olla nopeampaa.</t>
        </r>
      </text>
    </comment>
    <comment ref="S88" authorId="0" shapeId="0" xr:uid="{311AAA99-1B47-4675-B6D7-C9FCBC42F3F5}">
      <text>
        <r>
          <rPr>
            <b/>
            <sz val="9"/>
            <color indexed="81"/>
            <rFont val="Tahoma"/>
            <family val="2"/>
          </rPr>
          <t>Lähde: https://core.ac.uk/download/pdf/14927376.pdf</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Lahtinen, Maiju</author>
  </authors>
  <commentList>
    <comment ref="E15" authorId="0" shapeId="0" xr:uid="{E0AC4DBF-FD8B-451C-AFA2-6F7B14A4CF6B}">
      <text>
        <r>
          <rPr>
            <b/>
            <sz val="9"/>
            <color indexed="81"/>
            <rFont val="Tahoma"/>
            <family val="2"/>
          </rPr>
          <t>Lähde: Koskinen T. https://asfalttitieto.fi/asfaltin-hinta-vuonna-2021/
Kokonaishinnasta 40 % on asfaltin massaa. Keskiarvo on saatu eri kokoisten alueiden asfaltoinneista. 0,1 m on asfaltoinnin korkeus.</t>
        </r>
      </text>
    </comment>
    <comment ref="M15" authorId="0" shapeId="0" xr:uid="{C2F719AB-E4A0-4A95-A96C-0F977AB23AD3}">
      <text>
        <r>
          <rPr>
            <b/>
            <sz val="9"/>
            <color indexed="81"/>
            <rFont val="Tahoma"/>
            <family val="2"/>
          </rPr>
          <t>Lähde: Koskinen T. https://asfalttitieto.fi/asfaltin-hinta-vuonna-2021/
Kokonaishinnasta 40 % on asfaltin massaa. Keskiarvo on saatu eri kokoisten alueiden asfaltoinneista. 0,1 m on asfaltoinnin korkeus.</t>
        </r>
      </text>
    </comment>
    <comment ref="E16" authorId="0" shapeId="0" xr:uid="{3018BAEB-702A-41B4-9886-C427EB14D8EC}">
      <text>
        <r>
          <rPr>
            <b/>
            <sz val="9"/>
            <color indexed="81"/>
            <rFont val="Tahoma"/>
            <family val="2"/>
          </rPr>
          <t>Lähde: Koskinen T. https://asfalttitieto.fi/asfaltin-hinta-vuonna-2021/
Kokonaishinnasta 40 % on asfaltin massaa. Keskiarvo on saatu eri kokoisten alueiden asfaltoinneista. 0,1 m on asfaltoinnin korkeus.</t>
        </r>
      </text>
    </comment>
    <comment ref="M16" authorId="0" shapeId="0" xr:uid="{1E2EF6D5-3FF7-43BC-87E7-31EC2A2769F8}">
      <text>
        <r>
          <rPr>
            <b/>
            <sz val="9"/>
            <color indexed="81"/>
            <rFont val="Tahoma"/>
            <family val="2"/>
          </rPr>
          <t>Lähde: Koskinen T. https://asfalttitieto.fi/asfaltin-hinta-vuonna-2021/
Kokonaishinnasta 40 % on asfaltin massaa. Keskiarvo on saatu eri kokoisten alueiden asfaltoinneista. 0,1 m on asfaltoinnin korkeus.</t>
        </r>
      </text>
    </comment>
    <comment ref="E22" authorId="0" shapeId="0" xr:uid="{69CE284C-74F9-4588-B92B-B94790652447}">
      <text>
        <r>
          <rPr>
            <b/>
            <sz val="9"/>
            <color indexed="81"/>
            <rFont val="Tahoma"/>
            <family val="2"/>
          </rPr>
          <t>Hinta arvioitu Pihamaa.fi perusteella (pihamaamulta ja nurmimaamulta)</t>
        </r>
      </text>
    </comment>
    <comment ref="M22" authorId="0" shapeId="0" xr:uid="{343BC693-AF44-4276-97FE-70CC31A4F33C}">
      <text>
        <r>
          <rPr>
            <b/>
            <sz val="9"/>
            <color indexed="81"/>
            <rFont val="Tahoma"/>
            <family val="2"/>
          </rPr>
          <t>Hinta arvioitu Pihamaa.fi perusteella (pihamaamulta ja nurmimaamulta)</t>
        </r>
      </text>
    </comment>
    <comment ref="C23" authorId="0" shapeId="0" xr:uid="{83DF83A6-9E12-4838-B068-7235D0AFF6C1}">
      <text>
        <r>
          <rPr>
            <b/>
            <sz val="9"/>
            <color indexed="81"/>
            <rFont val="Tahoma"/>
            <family val="2"/>
          </rPr>
          <t>Hinta arvioitu kahden lähteen avulla (IKH ja Jumeva)</t>
        </r>
      </text>
    </comment>
    <comment ref="K23" authorId="0" shapeId="0" xr:uid="{88E5E839-EB58-4E55-A814-65BEEF9C3F6D}">
      <text>
        <r>
          <rPr>
            <b/>
            <sz val="9"/>
            <color indexed="81"/>
            <rFont val="Tahoma"/>
            <family val="2"/>
          </rPr>
          <t>Hinta arvioitu kahden lähteen avulla (IKH ja Jumeva)</t>
        </r>
      </text>
    </comment>
    <comment ref="E46" authorId="0" shapeId="0" xr:uid="{222903F0-82D0-40B5-B936-6715FD8215DA}">
      <text>
        <r>
          <rPr>
            <b/>
            <sz val="9"/>
            <color indexed="81"/>
            <rFont val="Tahoma"/>
            <family val="2"/>
          </rPr>
          <t>Lähde: Koskinen T. https://asfalttitieto.fi/asfaltin-hinta-vuonna-2021/
Kokonaishinnasta 40 % on asfaltin massaa. Keskiarvo on saatu eri kokoisten alueiden asfaltoinneista. 0,1 m on asfaltoinnin korkeus.</t>
        </r>
      </text>
    </comment>
    <comment ref="M46" authorId="0" shapeId="0" xr:uid="{AA5A2E9C-7955-4ECA-A7D0-4BD1608A58A3}">
      <text>
        <r>
          <rPr>
            <b/>
            <sz val="9"/>
            <color indexed="81"/>
            <rFont val="Tahoma"/>
            <family val="2"/>
          </rPr>
          <t>Lähde: Koskinen T. https://asfalttitieto.fi/asfaltin-hinta-vuonna-2021/
Kokonaishinnasta 40 % on asfaltin massaa. Keskiarvo on saatu eri kokoisten alueiden asfaltoinneista. 0,1 m on asfaltoinnin korkeus.</t>
        </r>
      </text>
    </comment>
    <comment ref="C47" authorId="0" shapeId="0" xr:uid="{48C50752-78DE-4A2B-A179-0DC9237A19F5}">
      <text>
        <r>
          <rPr>
            <b/>
            <sz val="9"/>
            <color indexed="81"/>
            <rFont val="Tahoma"/>
            <family val="2"/>
          </rPr>
          <t>Betonikaivon e/kg arvioitu usean yrityksen ilmoittamien hintojen perusteella (Rudus, Lujabetoni, Taloon.com)</t>
        </r>
      </text>
    </comment>
    <comment ref="K47" authorId="0" shapeId="0" xr:uid="{0181F2E2-4F93-443D-B43A-B1485DC33D03}">
      <text>
        <r>
          <rPr>
            <b/>
            <sz val="9"/>
            <color indexed="81"/>
            <rFont val="Tahoma"/>
            <family val="2"/>
          </rPr>
          <t>Betonikaivon e/kg arvioitu usean yrityksen ilmoittamien hintojen perusteella (Rudus, Lujabetoni, Taloon.com)</t>
        </r>
      </text>
    </comment>
    <comment ref="C48" authorId="0" shapeId="0" xr:uid="{E1CCEC28-7FB0-4692-9126-CFB3B91CD4F7}">
      <text>
        <r>
          <rPr>
            <b/>
            <sz val="9"/>
            <color indexed="81"/>
            <rFont val="Tahoma"/>
            <family val="2"/>
          </rPr>
          <t>Betonipaalun hinta arvioitu betonikaivon ja -putken keskiarvoksi, sillä hintaa paalulle ei löytynyt.</t>
        </r>
      </text>
    </comment>
    <comment ref="E48" authorId="0" shapeId="0" xr:uid="{EF3B93CB-8D79-4A45-BE40-5A6EA3681DB2}">
      <text>
        <r>
          <rPr>
            <b/>
            <sz val="9"/>
            <color indexed="81"/>
            <rFont val="Tahoma"/>
            <family val="2"/>
          </rPr>
          <t>Betonipaalun hinta arvioitu betonikaivon ja -putken keskiarvoksi, sillä hintaa paalulle ei löytynyt.</t>
        </r>
      </text>
    </comment>
    <comment ref="K48" authorId="0" shapeId="0" xr:uid="{D2489692-DADF-4D96-A060-57DFD4A08D3A}">
      <text>
        <r>
          <rPr>
            <b/>
            <sz val="9"/>
            <color indexed="81"/>
            <rFont val="Tahoma"/>
            <family val="2"/>
          </rPr>
          <t>Betonipaalun hinta arvioitu betonikaivon ja -putken keskiarvoksi, sillä hintaa paalulle ei löytynyt.</t>
        </r>
      </text>
    </comment>
    <comment ref="M48" authorId="0" shapeId="0" xr:uid="{85A3730A-3D41-4F1B-B665-096E416BF943}">
      <text>
        <r>
          <rPr>
            <b/>
            <sz val="9"/>
            <color indexed="81"/>
            <rFont val="Tahoma"/>
            <family val="2"/>
          </rPr>
          <t>Betonipaalun hinta arvioitu betonikaivon ja -putken keskiarvoksi, sillä hintaa paalulle ei löytynyt.</t>
        </r>
      </text>
    </comment>
    <comment ref="C49" authorId="0" shapeId="0" xr:uid="{CE0A4798-56AF-4E83-8BEA-4DBBD33A6C05}">
      <text>
        <r>
          <rPr>
            <b/>
            <sz val="9"/>
            <color indexed="81"/>
            <rFont val="Tahoma"/>
            <family val="2"/>
          </rPr>
          <t>Betoniputken hinnan arvioinnissa käytetty Ruduksen ja Ruskon betonin lähteitä.</t>
        </r>
      </text>
    </comment>
    <comment ref="K49" authorId="0" shapeId="0" xr:uid="{C9A63638-91AB-4670-9745-93D75F7D216B}">
      <text>
        <r>
          <rPr>
            <b/>
            <sz val="9"/>
            <color indexed="81"/>
            <rFont val="Tahoma"/>
            <family val="2"/>
          </rPr>
          <t>Betoniputken hinnan arvioinnissa käytetty Ruduksen ja Ruskon betonin lähteitä.</t>
        </r>
      </text>
    </comment>
    <comment ref="C50" authorId="0" shapeId="0" xr:uid="{72AF4FA9-F2BE-4C13-8EBE-6812E16D514C}">
      <text>
        <r>
          <rPr>
            <b/>
            <sz val="9"/>
            <color indexed="81"/>
            <rFont val="Tahoma"/>
            <family val="2"/>
          </rPr>
          <t>Geotekstiilien hinta arvioitu eri lähteistä (Netrauta, Stark, Byggmax)</t>
        </r>
      </text>
    </comment>
    <comment ref="K50" authorId="0" shapeId="0" xr:uid="{56EB4106-6C70-45EA-B127-4B9A1DBA3AF5}">
      <text>
        <r>
          <rPr>
            <b/>
            <sz val="9"/>
            <color indexed="81"/>
            <rFont val="Tahoma"/>
            <family val="2"/>
          </rPr>
          <t>Geotekstiilien hinta arvioitu eri lähteistä (Netrauta, Stark, Byggmax)</t>
        </r>
      </text>
    </comment>
    <comment ref="C51" authorId="0" shapeId="0" xr:uid="{38AC029A-3805-4E7E-98CA-D03A5A31B775}">
      <text>
        <r>
          <rPr>
            <b/>
            <sz val="9"/>
            <color indexed="81"/>
            <rFont val="Tahoma"/>
            <family val="2"/>
          </rPr>
          <t>Kalkin hinta arvioitu eri lähteiden perusteella (Lakkapää, Hankkija, Stark)</t>
        </r>
      </text>
    </comment>
    <comment ref="K51" authorId="0" shapeId="0" xr:uid="{A3D11BBF-AAF6-4317-AAD3-A03F98B1E2DD}">
      <text>
        <r>
          <rPr>
            <b/>
            <sz val="9"/>
            <color indexed="81"/>
            <rFont val="Tahoma"/>
            <family val="2"/>
          </rPr>
          <t>Kalkin hinta arvioitu eri lähteiden perusteella (Lakkapää, Hankkija, Stark)</t>
        </r>
      </text>
    </comment>
    <comment ref="C52" authorId="0" shapeId="0" xr:uid="{524F2F54-B93F-4265-94C1-656CC89CCD53}">
      <text>
        <r>
          <rPr>
            <b/>
            <sz val="9"/>
            <color indexed="81"/>
            <rFont val="Tahoma"/>
            <family val="2"/>
          </rPr>
          <t xml:space="preserve">Hinta arvioitu samaksi kuin raudoittamattomalla k-betoniharkolla. Raudoitetulle k-b-harkolle ei löytynyt omaa hintaa. </t>
        </r>
      </text>
    </comment>
    <comment ref="K52" authorId="0" shapeId="0" xr:uid="{9D07111E-4A76-481F-8512-DD6B122B2D5A}">
      <text>
        <r>
          <rPr>
            <b/>
            <sz val="9"/>
            <color indexed="81"/>
            <rFont val="Tahoma"/>
            <family val="2"/>
          </rPr>
          <t xml:space="preserve">Hinta arvioitu samaksi kuin raudoittamattomalla k-betoniharkolla. Raudoitetulle k-b-harkolle ei löytynyt omaa hintaa. </t>
        </r>
      </text>
    </comment>
    <comment ref="C53" authorId="0" shapeId="0" xr:uid="{F1B7E30D-5DE7-46DD-ADF0-86B93DD3B12E}">
      <text>
        <r>
          <rPr>
            <b/>
            <sz val="9"/>
            <color indexed="81"/>
            <rFont val="Tahoma"/>
            <family val="2"/>
          </rPr>
          <t>Kevytbetonin hinta arvioitu eri lähteiden perusteella (Interbauen, Byggmax)</t>
        </r>
      </text>
    </comment>
    <comment ref="K53" authorId="0" shapeId="0" xr:uid="{EE57C2D5-C327-43BC-A2F1-1DFE6EED19EA}">
      <text>
        <r>
          <rPr>
            <b/>
            <sz val="9"/>
            <color indexed="81"/>
            <rFont val="Tahoma"/>
            <family val="2"/>
          </rPr>
          <t>Kevytbetonin hinta arvioitu eri lähteiden perusteella (Interbauen, Byggmax)</t>
        </r>
      </text>
    </comment>
    <comment ref="C54" authorId="0" shapeId="0" xr:uid="{71A578DE-A6D4-481D-8DF8-CDF1E6BE58E6}">
      <text>
        <r>
          <rPr>
            <b/>
            <sz val="9"/>
            <color indexed="81"/>
            <rFont val="Tahoma"/>
            <family val="2"/>
          </rPr>
          <t>Kevytsoramurskeen  hinta arvioitu eri lähteiden perusteella (Stark ja Taloon.com)</t>
        </r>
      </text>
    </comment>
    <comment ref="K54" authorId="0" shapeId="0" xr:uid="{16F13353-59DC-4911-B20B-71A61F7D7C11}">
      <text>
        <r>
          <rPr>
            <b/>
            <sz val="9"/>
            <color indexed="81"/>
            <rFont val="Tahoma"/>
            <family val="2"/>
          </rPr>
          <t>Kevytsoramurskeen  hinta arvioitu eri lähteiden perusteella (Stark ja Taloon.com)</t>
        </r>
      </text>
    </comment>
    <comment ref="C55" authorId="0" shapeId="0" xr:uid="{11D9C12E-87EA-4286-A9D8-9C40DDC79880}">
      <text>
        <r>
          <rPr>
            <b/>
            <sz val="9"/>
            <color indexed="81"/>
            <rFont val="Tahoma"/>
            <family val="2"/>
          </rPr>
          <t>Kivimurskeen hinta arvioitu eri lähteiden perusteella (Porvoon sora ja multa, kalliomursketta.fi)</t>
        </r>
      </text>
    </comment>
    <comment ref="K55" authorId="0" shapeId="0" xr:uid="{E11876D0-75AE-481F-B0A7-99434FD35329}">
      <text>
        <r>
          <rPr>
            <b/>
            <sz val="9"/>
            <color indexed="81"/>
            <rFont val="Tahoma"/>
            <family val="2"/>
          </rPr>
          <t>Kivimurskeen hinta arvioitu eri lähteiden perusteella (Porvoon sora ja multa, kalliomursketta.fi)</t>
        </r>
      </text>
    </comment>
    <comment ref="C56" authorId="0" shapeId="0" xr:uid="{2729E329-AB6B-4630-AA6B-39409608377F}">
      <text>
        <r>
          <rPr>
            <b/>
            <sz val="9"/>
            <color indexed="81"/>
            <rFont val="Tahoma"/>
            <family val="2"/>
          </rPr>
          <t>Katukiven hinta arvioitu eri lähteiden perusteella (Taloon.com ja Rudus)</t>
        </r>
      </text>
    </comment>
    <comment ref="K56" authorId="0" shapeId="0" xr:uid="{EAB3BDE3-7670-49CA-8F8A-710E10EE3A93}">
      <text>
        <r>
          <rPr>
            <b/>
            <sz val="9"/>
            <color indexed="81"/>
            <rFont val="Tahoma"/>
            <family val="2"/>
          </rPr>
          <t>Katukiven hinta arvioitu eri lähteiden perusteella (Taloon.com ja Rudus)</t>
        </r>
      </text>
    </comment>
    <comment ref="C57" authorId="0" shapeId="0" xr:uid="{167DBDF3-122D-4E83-B43E-D9D3A2B3DA00}">
      <text>
        <r>
          <rPr>
            <b/>
            <sz val="9"/>
            <color indexed="81"/>
            <rFont val="Tahoma"/>
            <family val="2"/>
          </rPr>
          <t>Reunakiven hinta arvioitu eri lähteiden perusteella (Rudus, taloon.com)</t>
        </r>
      </text>
    </comment>
    <comment ref="K57" authorId="0" shapeId="0" xr:uid="{636DC963-A6EB-49B8-A5CC-A348B09AA56A}">
      <text>
        <r>
          <rPr>
            <b/>
            <sz val="9"/>
            <color indexed="81"/>
            <rFont val="Tahoma"/>
            <family val="2"/>
          </rPr>
          <t>Reunakiven hinta arvioitu eri lähteiden perusteella (Rudus, taloon.com)</t>
        </r>
      </text>
    </comment>
    <comment ref="C58" authorId="0" shapeId="0" xr:uid="{BEA62644-95DC-43EF-90A6-D63B21403328}">
      <text>
        <r>
          <rPr>
            <b/>
            <sz val="9"/>
            <color indexed="81"/>
            <rFont val="Tahoma"/>
            <family val="2"/>
          </rPr>
          <t>Salaojaputken hinta arvioitu eri lähteiden perusteella (K-rauta, netrauta)</t>
        </r>
      </text>
    </comment>
    <comment ref="K58" authorId="0" shapeId="0" xr:uid="{552EA4E3-96FB-4FEB-ACA8-EC9189F45CF5}">
      <text>
        <r>
          <rPr>
            <b/>
            <sz val="9"/>
            <color indexed="81"/>
            <rFont val="Tahoma"/>
            <family val="2"/>
          </rPr>
          <t>Salaojaputken hinta arvioitu eri lähteiden perusteella (K-rauta, netrauta)</t>
        </r>
      </text>
    </comment>
    <comment ref="C59" authorId="0" shapeId="0" xr:uid="{809F6220-E4DF-400A-BD56-86D285F7DC31}">
      <text>
        <r>
          <rPr>
            <b/>
            <sz val="9"/>
            <color indexed="81"/>
            <rFont val="Tahoma"/>
            <family val="2"/>
          </rPr>
          <t>Soran ja hiekan hinta arvioitu eri lähteiden perusteella (Multalan sora, Porvoon sora ja multa)</t>
        </r>
      </text>
    </comment>
    <comment ref="K59" authorId="0" shapeId="0" xr:uid="{AA5C0DEA-3320-43D8-BD0E-5A47F3E25AB8}">
      <text>
        <r>
          <rPr>
            <b/>
            <sz val="9"/>
            <color indexed="81"/>
            <rFont val="Tahoma"/>
            <family val="2"/>
          </rPr>
          <t>Soran ja hiekan hinta arvioitu eri lähteiden perusteella (Multalan sora, Porvoon sora ja multa)</t>
        </r>
      </text>
    </comment>
    <comment ref="C60" authorId="0" shapeId="0" xr:uid="{77C03791-4D81-4217-9416-91CE5E038651}">
      <text>
        <r>
          <rPr>
            <b/>
            <sz val="9"/>
            <color indexed="81"/>
            <rFont val="Tahoma"/>
            <family val="2"/>
          </rPr>
          <t>Tiilen (punainen) hinta arvioitu eri lähteiden perusteella (K-rauta, Stark)</t>
        </r>
      </text>
    </comment>
    <comment ref="K60" authorId="0" shapeId="0" xr:uid="{C7ABB608-168A-4675-B8E0-600DEB2F536C}">
      <text>
        <r>
          <rPr>
            <b/>
            <sz val="9"/>
            <color indexed="81"/>
            <rFont val="Tahoma"/>
            <family val="2"/>
          </rPr>
          <t>Tiilen (punainen) hinta arvioitu eri lähteiden perusteella (K-rauta, Stark)</t>
        </r>
      </text>
    </comment>
    <comment ref="C61" authorId="0" shapeId="0" xr:uid="{D336A898-F596-42FB-911A-A8C7ECF1C823}">
      <text>
        <r>
          <rPr>
            <b/>
            <sz val="9"/>
            <color indexed="81"/>
            <rFont val="Tahoma"/>
            <family val="2"/>
          </rPr>
          <t>Valkoisen tiilen hinta arvioitu samaksi mitä punaisen tiilen hinta.</t>
        </r>
      </text>
    </comment>
    <comment ref="K61" authorId="0" shapeId="0" xr:uid="{DF9CA22A-5894-47A8-837B-28A03B322AB6}">
      <text>
        <r>
          <rPr>
            <b/>
            <sz val="9"/>
            <color indexed="81"/>
            <rFont val="Tahoma"/>
            <family val="2"/>
          </rPr>
          <t>Valkoisen tiilen hinta arvioitu samaksi mitä punaisen tiilen hinta.</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<sst xmlns="http://schemas.openxmlformats.org/spreadsheetml/2006/main" count="2036" uniqueCount="449">
  <si>
    <t xml:space="preserve">Tämä päästö- ja kustannuslaskentatyökalu on rakennettu Utajärven kiertotalouden käsikirja -projektin yhteydessä. </t>
  </si>
  <si>
    <t xml:space="preserve">Laskentatyökalun tavoitteena on todentaa kierrätysmateriaalien hyödyntämisen kannattavuus ja vaikuttavuus niin ilmaston kuin talouden näkökulmasta. </t>
  </si>
  <si>
    <t>A1-A3 Tuotetaso</t>
  </si>
  <si>
    <t>A1 Raaka-aineiden tuotanto</t>
  </si>
  <si>
    <t>A2 Kuljetus</t>
  </si>
  <si>
    <t>A3 Valmistus</t>
  </si>
  <si>
    <t>A4-A5 Rakentaminen</t>
  </si>
  <si>
    <t>A4 Kuljetus</t>
  </si>
  <si>
    <t>A5 Rakennusprosessi</t>
  </si>
  <si>
    <t>Skenaario 1</t>
  </si>
  <si>
    <t>Skenaarion nimi:</t>
  </si>
  <si>
    <t>1. Materiaalien päästöt ja kuljetukset</t>
  </si>
  <si>
    <t>Määrä</t>
  </si>
  <si>
    <t>Yksikkö</t>
  </si>
  <si>
    <t>Materiaalien kuljetustapa, A2 ja A4</t>
  </si>
  <si>
    <t>Kuljetuskilometrit</t>
  </si>
  <si>
    <t>Päästöt yhteensä materiaalikohtaisesti (kgCO2e)</t>
  </si>
  <si>
    <t>Materiaalin päästöt (kgCO2e)</t>
  </si>
  <si>
    <t>Kuljetuksen päästöt (kgCO2e)</t>
  </si>
  <si>
    <t>Materiaalin yksikkökustannukset</t>
  </si>
  <si>
    <t>Kuljetuksien kustannukset</t>
  </si>
  <si>
    <t>Kustannukset yhteensä materiaalikohtaisesti (e)</t>
  </si>
  <si>
    <t>Materiaalin kustannus (e)</t>
  </si>
  <si>
    <t>Kuljetuksen kustannus (e)</t>
  </si>
  <si>
    <t>Neitseelliset materiaalit</t>
  </si>
  <si>
    <t>Betonipaalu (neitseellinen)</t>
  </si>
  <si>
    <t>m3</t>
  </si>
  <si>
    <t>e/km</t>
  </si>
  <si>
    <t>Geotekstiili, PP (neitseellinen)</t>
  </si>
  <si>
    <t>kg</t>
  </si>
  <si>
    <t>Kustannuksen yksikkö</t>
  </si>
  <si>
    <t>Valitse neitseellinen materiaali</t>
  </si>
  <si>
    <t>Materiaalin yksikkö</t>
  </si>
  <si>
    <t>Valitse kuljetustapa</t>
  </si>
  <si>
    <t>Uusiomateriaalit</t>
  </si>
  <si>
    <t>Asfalttibetoni (30 % uusio)</t>
  </si>
  <si>
    <t>Pohjatuhka, pohjahiekka (uusio)</t>
  </si>
  <si>
    <t>Valitse uusiomateriaali</t>
  </si>
  <si>
    <t>2. Rakentamisen päästöt, A5</t>
  </si>
  <si>
    <t>Rakentamisen päästöt (kgCO2e)</t>
  </si>
  <si>
    <t>Työkoneiden käyttö</t>
  </si>
  <si>
    <t>Työkoneiden tuntikäyttö tai polttoaineen litramäärä</t>
  </si>
  <si>
    <t>Työvaiheittain</t>
  </si>
  <si>
    <t>Sähkökäyttöiset</t>
  </si>
  <si>
    <t>Pyöräkuormaaja, diesel</t>
  </si>
  <si>
    <t>l</t>
  </si>
  <si>
    <t>Valitse työvaihe</t>
  </si>
  <si>
    <t>Muut siirrettävät työkoneet, bensiini (esim. generaattorit, täryttimet)</t>
  </si>
  <si>
    <t>Päällysrakenteiden/rakennekerrosten levitys</t>
  </si>
  <si>
    <t>Trukki, kaasu</t>
  </si>
  <si>
    <t>h</t>
  </si>
  <si>
    <t>Valitse työkone</t>
  </si>
  <si>
    <t>Työkoneen yksikkö</t>
  </si>
  <si>
    <t>Sähkökäyttöisten työkoneiden käyttö</t>
  </si>
  <si>
    <t>Vihreä sähkö</t>
  </si>
  <si>
    <t>kWh</t>
  </si>
  <si>
    <t>Kotimaan käytetyn sähkön keskiarvo</t>
  </si>
  <si>
    <t>Oma energiayhtiö</t>
  </si>
  <si>
    <t xml:space="preserve">3. Jätteiden käsittely, A5 </t>
  </si>
  <si>
    <t>Jätelaji</t>
  </si>
  <si>
    <t>Määrä kg</t>
  </si>
  <si>
    <t>Jätteen kuljetustapa</t>
  </si>
  <si>
    <t>Kuljetuskilometrit/ suunta</t>
  </si>
  <si>
    <t>Jätteen käsittelyn päästöt</t>
  </si>
  <si>
    <t>Jätteen kuljetuksen päästöt</t>
  </si>
  <si>
    <t>km</t>
  </si>
  <si>
    <t>Maansiirtoauto ilman perävaunua (19 t), diesel</t>
  </si>
  <si>
    <t>Maansiirtoauto ilman perävaunua (19 t), uusiutuva diesel</t>
  </si>
  <si>
    <t>SKENAARIO 1</t>
  </si>
  <si>
    <t>Materiaalien päästöt</t>
  </si>
  <si>
    <t>kgCO2e</t>
  </si>
  <si>
    <t>Neitseellisten materiaalien päästöt</t>
  </si>
  <si>
    <t>Materiaalien kustannus</t>
  </si>
  <si>
    <t>€</t>
  </si>
  <si>
    <t>Kuljetuksen päästöt</t>
  </si>
  <si>
    <t>Uusiomateriaalien päästöt</t>
  </si>
  <si>
    <t>Kuljetuksen kustannus</t>
  </si>
  <si>
    <t>Rakentamisen päästöt</t>
  </si>
  <si>
    <t>Yhteensä</t>
  </si>
  <si>
    <t>Yhteensä, kgCO2e</t>
  </si>
  <si>
    <t>Yhteensä, tCO2e</t>
  </si>
  <si>
    <t>tCO2e</t>
  </si>
  <si>
    <t>Skenaario 2</t>
  </si>
  <si>
    <t>Betonikaivo (neitseellinen)</t>
  </si>
  <si>
    <t>Varastointi</t>
  </si>
  <si>
    <t>SKENAARIO 2</t>
  </si>
  <si>
    <t>Päästökertoimet</t>
  </si>
  <si>
    <t>Materiaalit</t>
  </si>
  <si>
    <t>Päästökerroin/kg</t>
  </si>
  <si>
    <t>Tiheys</t>
  </si>
  <si>
    <t>Päästökerroin/m3</t>
  </si>
  <si>
    <t>Lähde</t>
  </si>
  <si>
    <t>Muuta</t>
  </si>
  <si>
    <t>Kuljetukset</t>
  </si>
  <si>
    <t>Päästökerroin</t>
  </si>
  <si>
    <t>Työkoneet</t>
  </si>
  <si>
    <t>Jätteet</t>
  </si>
  <si>
    <t>-</t>
  </si>
  <si>
    <t>Päästökerroin /h</t>
  </si>
  <si>
    <t>Päästökerroin/l</t>
  </si>
  <si>
    <t>Kulutus</t>
  </si>
  <si>
    <t>Energiajäte</t>
  </si>
  <si>
    <t>kgCO2e/kg</t>
  </si>
  <si>
    <t>Asfalttibetoni (50 % uusio/neitseellinen)</t>
  </si>
  <si>
    <t>kg/m3</t>
  </si>
  <si>
    <t>kgCO2e/m3</t>
  </si>
  <si>
    <t>Rakentamisen päästötietokanta, 2021. Asphalt Concrete, &amp; Bizarro et al. 2021. Potential Carbon Footprint Reduction for Reclaimed Asphalt Pavement Innovations: LCA Methodology, Best Available Technology, and Near-Future Reduction Potential</t>
  </si>
  <si>
    <t>Päästökertoin asfalttibetonille, jossa 50 % neitseellistä raaka-ainetta. Keskimääräinen arvo kahdesta lähteestä.</t>
  </si>
  <si>
    <t>kgCO2e/tkm</t>
  </si>
  <si>
    <t>Täyden kuorman ja osakuorman keskiarvo</t>
  </si>
  <si>
    <t>Trukki, diesel</t>
  </si>
  <si>
    <t>kgCO2e/h</t>
  </si>
  <si>
    <t>kgCO2e/l</t>
  </si>
  <si>
    <t>l/h</t>
  </si>
  <si>
    <t>Rakennusjäte</t>
  </si>
  <si>
    <t>Bizarro et al. 2021. Potential Carbon Footprint Reduction for Reclaimed Asphalt Pavement Innovations: LCA Methodology, Best Available Technology, and Near-Future Reduction Potential</t>
  </si>
  <si>
    <t>Keskiarvoisesti Suomessa käytetään asfalttia, joka on 30 % kierrätysasfalttia</t>
  </si>
  <si>
    <t>Puskutraktori, diesel</t>
  </si>
  <si>
    <t>Metalli</t>
  </si>
  <si>
    <t>Asfalttijätemurske (uusio)</t>
  </si>
  <si>
    <t>Rakentamisen päästötietokanta, 2021. Waste processing, mineral materials</t>
  </si>
  <si>
    <t>Sis. murskaus</t>
  </si>
  <si>
    <t>Tiehöylä, diesel</t>
  </si>
  <si>
    <t>Kartonki/pahvi</t>
  </si>
  <si>
    <t>Betonijätemurske (uusio)</t>
  </si>
  <si>
    <t>Jyrä, diesel</t>
  </si>
  <si>
    <t>Lasi</t>
  </si>
  <si>
    <t>Geopolymeeri (uusio)</t>
  </si>
  <si>
    <t>https://www.ril.fi/fi/rakennustekniikka/betonia-teollisuuden-sivuvirroista.html</t>
  </si>
  <si>
    <t>60 % pienempi kuin tavallisen betonin hiilijalanjälki</t>
  </si>
  <si>
    <t>Täyden kuorman ja osakuorman kulutuksen keskiarvo</t>
  </si>
  <si>
    <t>Muovi</t>
  </si>
  <si>
    <t>Jätekalkki</t>
  </si>
  <si>
    <t>AFRYn arvio</t>
  </si>
  <si>
    <t>Käytetään sellaisenaan</t>
  </si>
  <si>
    <t>Traktorikaivuri, diesel</t>
  </si>
  <si>
    <t>Puu</t>
  </si>
  <si>
    <t>Jätteenpolton pohjakuona (uusio)</t>
  </si>
  <si>
    <t>Käytetään sellaisenaan (metallit seulotaan joka tapauksessa)</t>
  </si>
  <si>
    <t>Minikaivuri, diesel</t>
  </si>
  <si>
    <t>Vaarallinen jäte</t>
  </si>
  <si>
    <t>Kierrätyskasvualustat (uusio)</t>
  </si>
  <si>
    <t>Ruuskanen T, 2014. Kierrätysmateriaaleja hyödyntävien kasvualustojen tuotantoprosessin ympäristö- ja yhteiskunnallinen kustannus-hyötyanalyysi</t>
  </si>
  <si>
    <t>Sis. kompostoinnin</t>
  </si>
  <si>
    <t>Tela-alusteinen kaivinkone, diesel</t>
  </si>
  <si>
    <t>Sekajäte (poltto)</t>
  </si>
  <si>
    <t>Lasimurske (uusio)</t>
  </si>
  <si>
    <t>Pyöräalusteinen kaivinkone, diesel</t>
  </si>
  <si>
    <t>Biojäte</t>
  </si>
  <si>
    <t>Lentotuhka, kattilatuhka (uusio)</t>
  </si>
  <si>
    <t>Käytetään sellaisenaan. Jos lentotuhka tiivistetään, pitää se ottaa huomioon rakentamisen aikaisissa päästöissä.</t>
  </si>
  <si>
    <t>Kunnossapitotraktori, diesel</t>
  </si>
  <si>
    <t>Paperi</t>
  </si>
  <si>
    <t>Meesa (uusio)</t>
  </si>
  <si>
    <t>Fossiilista LNG:tä käyttävän kuorma-auton päästökerroin</t>
  </si>
  <si>
    <t>Dumpperi, diesel</t>
  </si>
  <si>
    <t>Okto-eriste (uusio)</t>
  </si>
  <si>
    <t>Destia, 2020. Perinteisen tierakenteen ja OKTO-tuoterakenteen hiilijalanjälkivertailu</t>
  </si>
  <si>
    <t>Monitoimikone, diesel</t>
  </si>
  <si>
    <t>Okto-murske (uusio)</t>
  </si>
  <si>
    <t>Sis. Rakeistus ja lajittelu</t>
  </si>
  <si>
    <t>Sekatavarajuna, diesel</t>
  </si>
  <si>
    <t>Muut ajettavat työkoneet, diesel</t>
  </si>
  <si>
    <t>Konttijuna, diesel</t>
  </si>
  <si>
    <t>Muut siirrettävät työkoneet, diesel (esim. generaattorit, täryttimet, kompressorit)</t>
  </si>
  <si>
    <t>Rengasleike, kokonaiset renkaat (uusio)</t>
  </si>
  <si>
    <t>kgCO2/kg</t>
  </si>
  <si>
    <t>Pehlken A. &amp; Roy G., 2006. Identifying LCA-elements in scrap tire recycling.</t>
  </si>
  <si>
    <t>Renkaiden leikkaus/rouhinta</t>
  </si>
  <si>
    <t>Sekatavarajuna, sähkö</t>
  </si>
  <si>
    <t>Trukki, bensiini</t>
  </si>
  <si>
    <t>Ruoppausmassa (uusio)</t>
  </si>
  <si>
    <t>Käytetään sellaisenaan/ei ylimääräistä käsittelyä uusiokäyttöä varten</t>
  </si>
  <si>
    <t>Konttijuna, sähkö</t>
  </si>
  <si>
    <t>Muut ajettavat työkoneet, bensiini</t>
  </si>
  <si>
    <t>Soodasakka (uusio)</t>
  </si>
  <si>
    <t>Tiilijätemurske (uusio)</t>
  </si>
  <si>
    <t>Muut käsikäyttöiset koneet, bensiini (esim. moottorisahat, trimmerit)</t>
  </si>
  <si>
    <t>Vaahtolasimurske (uusio)</t>
  </si>
  <si>
    <t>Rakentamisen päästötietokanta, 2021. Foamed glass crushed aggregate</t>
  </si>
  <si>
    <t>Ylijäämämaat (uusio)</t>
  </si>
  <si>
    <t>Lähde:</t>
  </si>
  <si>
    <t>Asfalttibetoni (neitseellinen)</t>
  </si>
  <si>
    <t>Sähkön käyttö työkoneissa</t>
  </si>
  <si>
    <t>Rakentamisen päästötietokanta, 2021. Concrete well elements</t>
  </si>
  <si>
    <t>kgCO2e/kWh</t>
  </si>
  <si>
    <t>(Vihreän sähkön tuotanto päästötöntä scope 1-2 tasolla)</t>
  </si>
  <si>
    <t>Rakentamisen päästötietokanta, 2021. Concrete piles</t>
  </si>
  <si>
    <t>Betoniputki (neitseellinen)</t>
  </si>
  <si>
    <t>Rakentamisen päästötietokanta, 2021. Concrete pipes</t>
  </si>
  <si>
    <t>(Lisää oman energiayhtiön ilmoittamat ominaispäästöt)</t>
  </si>
  <si>
    <t>Rakentamisen päästötietokanta, 2021. Geotextile, PP-based</t>
  </si>
  <si>
    <t>Kalkki (neitseellinen)</t>
  </si>
  <si>
    <t xml:space="preserve">Liikennevirasto, 2011. Tien- ja radanpidon hiilijalanjälki. </t>
  </si>
  <si>
    <t>Kevytbetoni, höyrykarkaistu, raudoitettu (neitseellinen)</t>
  </si>
  <si>
    <t>Rakentamisen päästötietokanta, 2021. Autoclaved aerated concrete, reinforced</t>
  </si>
  <si>
    <t>Kevytbetoniharkko, höyrykarkaistu, raudoittamaton (neitseellinen)</t>
  </si>
  <si>
    <t>Rakentamisen päästötietokanta, 2021. Autoclaved aerated concrete, masonry unit, not reinforced</t>
  </si>
  <si>
    <t>Mahdollisia työvaiheita</t>
  </si>
  <si>
    <t>Sisällytettävä(t) työkone(et)</t>
  </si>
  <si>
    <t>Aika/t materiaalia *</t>
  </si>
  <si>
    <t>Osuus työstä</t>
  </si>
  <si>
    <t>Päästökerroin, kgCO2e/t</t>
  </si>
  <si>
    <t>Kevytsoramurske (neitseellinen)</t>
  </si>
  <si>
    <t>Rakentamisen päästötietokanta, 2021. Expanded clay crushed aggregate</t>
  </si>
  <si>
    <t>Pintamaan poisto</t>
  </si>
  <si>
    <t>Kaivinkone</t>
  </si>
  <si>
    <t>Kivimurske (neitseellinen)</t>
  </si>
  <si>
    <t>Rakentamisen päästötietokanta, 2021. Crushed rock</t>
  </si>
  <si>
    <t>Maansiirtoauto/kuorma-auto</t>
  </si>
  <si>
    <t>Luonnonkivi, katukivi (neitseellinen)</t>
  </si>
  <si>
    <t>Rakentamisen päästötietokanta, 2021. Natural stone, rectangular paving stone</t>
  </si>
  <si>
    <t>Luonnonkivi, reunakivi (neitseellinen)</t>
  </si>
  <si>
    <t>Rakentamisen päästötietokanta, 2021. Natural stone, solid curb stone</t>
  </si>
  <si>
    <t>Salaojaputket (neitseellinen)</t>
  </si>
  <si>
    <t>Environment Agency, 2014. Carbon calculator.</t>
  </si>
  <si>
    <t>Tiivistys</t>
  </si>
  <si>
    <t>Täryjyrä</t>
  </si>
  <si>
    <t>Sora ja hiekka (neitseellinen)</t>
  </si>
  <si>
    <t>Rakentamisen päästötietokanta, 2021. Gravel and sand</t>
  </si>
  <si>
    <t>Asfaltointi</t>
  </si>
  <si>
    <t>Kuorma-auto</t>
  </si>
  <si>
    <t>Tiili, poltettu, punainen (neitseellinen)</t>
  </si>
  <si>
    <t>Rakentamisen päästötietokanta, 2021. Brick, red</t>
  </si>
  <si>
    <t>Asfalttilevitin</t>
  </si>
  <si>
    <t>Tiili, poltettu, vaalea (neitseellinen)</t>
  </si>
  <si>
    <t>Rakentamisen päästötietokanta, 2021. Brick, light</t>
  </si>
  <si>
    <t>Jyrä</t>
  </si>
  <si>
    <t>Pyöräkuormaaja</t>
  </si>
  <si>
    <t>Murskaus</t>
  </si>
  <si>
    <t>Murskain</t>
  </si>
  <si>
    <t>Seulonta</t>
  </si>
  <si>
    <t>Seula</t>
  </si>
  <si>
    <t xml:space="preserve">*Kerroin on puolitettu, sillä koko skenaarion materiaalien massaa ei todennäköisesti käsitellä </t>
  </si>
  <si>
    <t>Työvaiheiden määreiden lasku</t>
  </si>
  <si>
    <t>Esim. pientalon maanrakennustöissä 1-3 työpäivää.</t>
  </si>
  <si>
    <t>https://www.rakennusteollisuus.fi/globalassets/infra/tietoa-ja-tilastoja/ohjeita-ja-opastusta/pientalon_maarakennustyot.pdf</t>
  </si>
  <si>
    <t>Kuluva aika</t>
  </si>
  <si>
    <t>Käsiteltävä massa</t>
  </si>
  <si>
    <t>tonnia</t>
  </si>
  <si>
    <t>Esim. pientalon tien maanrakennustöissä n. 1 työpäivä</t>
  </si>
  <si>
    <t>Kapasiteetti</t>
  </si>
  <si>
    <t>t/h</t>
  </si>
  <si>
    <t>https://www.pank.fi/wp-content/uploads/2020/12/tiivistyksen-pikaopas-20130115.pdf</t>
  </si>
  <si>
    <t>https://www.pekkaniska.com/site/assets/files/1915/ominaispainotaulukko_nettisivuille.pdf</t>
  </si>
  <si>
    <t>Asfaltin pinta-ala</t>
  </si>
  <si>
    <t>m2</t>
  </si>
  <si>
    <t>https://www.theseus.fi/bitstream/handle/10024/125972/Puikkonen_Aki.pdf?sequence=1</t>
  </si>
  <si>
    <t>Asfaltin tiheys</t>
  </si>
  <si>
    <t>https://sr-o.fi/tuotekuvasto/pyorakuormaajat/pyorakuormaajat/</t>
  </si>
  <si>
    <t>h (varastointiin arvioitu kuluvan 10 min)</t>
  </si>
  <si>
    <t>tonnia (arvio, ka. Kaatokuormasta matalampi)</t>
  </si>
  <si>
    <t>https://www.rocktechnology.sandvik/fi/laitteet/murskaimet-ja-seulat/laitosratkaisuja/fastplant-ratkaisut/murskaus-ja-seulontalaitos-l200-3/</t>
  </si>
  <si>
    <t>t</t>
  </si>
  <si>
    <t>https://www.theseus.fi/bitstream/handle/10024/41095/Suomalainen_Olli.pdf?sequence=1&amp;isAllowed=y</t>
  </si>
  <si>
    <t>Keskimäärin maalajien tiheyden keskiarvot ja mediaanit lähellä arvoa 2,65 t/m3</t>
  </si>
  <si>
    <t>t/m3</t>
  </si>
  <si>
    <t>Kustannukset</t>
  </si>
  <si>
    <t>e/kg</t>
  </si>
  <si>
    <t>e/m3</t>
  </si>
  <si>
    <t>e/l</t>
  </si>
  <si>
    <t>Diesel</t>
  </si>
  <si>
    <t>Bensiini</t>
  </si>
  <si>
    <t>Tulokset</t>
  </si>
  <si>
    <t>Vertailu</t>
  </si>
  <si>
    <t>Yhteistulos</t>
  </si>
  <si>
    <t>Rakentaminen</t>
  </si>
  <si>
    <t>Päästölähde</t>
  </si>
  <si>
    <t>Osio</t>
  </si>
  <si>
    <t>A1 ja A3</t>
  </si>
  <si>
    <t>Materiaalien kuljetus</t>
  </si>
  <si>
    <t>A2 ja A4</t>
  </si>
  <si>
    <t>A5</t>
  </si>
  <si>
    <t>Jätteiden käsittely</t>
  </si>
  <si>
    <t>Liukuvalikot</t>
  </si>
  <si>
    <t>Materiaali</t>
  </si>
  <si>
    <t>Kuljetus</t>
  </si>
  <si>
    <t>e/h</t>
  </si>
  <si>
    <t>e/t</t>
  </si>
  <si>
    <t>Työvaiheiden päästölaskenta</t>
  </si>
  <si>
    <t>kiloa materiaaleja</t>
  </si>
  <si>
    <t>Yhteensä materiaaleja</t>
  </si>
  <si>
    <t>Betonikaivot</t>
  </si>
  <si>
    <t>Betoniputket</t>
  </si>
  <si>
    <t>Geotekstiili</t>
  </si>
  <si>
    <t>kg/kpl</t>
  </si>
  <si>
    <t>e/kpl</t>
  </si>
  <si>
    <t xml:space="preserve">Lähde: </t>
  </si>
  <si>
    <t>Netrauta.fi, Suodatinkangas N2/Geo PP 2NG 08 6x110m=660m2</t>
  </si>
  <si>
    <t>https://www.netrauta.fi/suodatinkangas-n2-geo-pp-2ng-08-6x110m-660m-sup2</t>
  </si>
  <si>
    <t>Ruskon betoni Oy, Tuote- ja palveluhinnasto</t>
  </si>
  <si>
    <t>Rudus, EK-putket pyöreät</t>
  </si>
  <si>
    <t>Stark, Suodatinkangas N2 5,25x160 m 840 m² 130g/m²</t>
  </si>
  <si>
    <t>https://www.rbinfra.fi/wp-content/uploads/2019/05/rb_esite_2019_netti.pdf</t>
  </si>
  <si>
    <t>https://www.rudus.fi/Download/23924/Betoniputket%20ja%20-kaivot%20tuoteluettelo%20ja%20hinnasto.pdf</t>
  </si>
  <si>
    <t>https://www.stark-suomi.fi/fi/suodatinkangas-n2-5-25x160-m-840-m%C2%B2-130g-m%C2%B2</t>
  </si>
  <si>
    <t>Taloon.com. https://www.taloon.com/kaivonrengas-pohjalla-1000x500-mm-uurreliitoksella</t>
  </si>
  <si>
    <t>Byggmax, Suodatinkangas</t>
  </si>
  <si>
    <t>https://www.byggmax.fi/suodatinkangas-p21032</t>
  </si>
  <si>
    <t>Rudus, Pohjallinen UL-kaivonrengas</t>
  </si>
  <si>
    <t>Ruskon betoni, EK-putket, pyöreät</t>
  </si>
  <si>
    <t>https://www.rudus.fi/tuotteet/kaivot-ja-putket/ul-renkaat-ja-kannet/1657/pohjalliset-ul-kaivonrenkaat</t>
  </si>
  <si>
    <t>Kalkki</t>
  </si>
  <si>
    <t>Kevytbetoni</t>
  </si>
  <si>
    <t>Kierrätyskasvualusta</t>
  </si>
  <si>
    <t>Lakkapää, Kalkki Calciprill 600kg Liitukalkkisäkki. https://www.lakkapaa.com/fi/maatalous-ja-konekauppa/kalkki-calciprill-600kg-liitukalkkisakki-(s)-kalkki-nopeaan-phn-nostoon/p/55510001/#description</t>
  </si>
  <si>
    <t>Interbauen, Kevytbetoni LC18 15/600 kg. https://interbauen.fi/kevytbetoni-lc18-15-600-kg/</t>
  </si>
  <si>
    <t>Pihamaa, Laskuri, nurmimaamulta. https://www.pihamaa.fi/Tuotteet/</t>
  </si>
  <si>
    <t>Hankkija, Juuan hieno Puutarhakalkki. https://www.hankkija.fi/Piha_ja_puutarha/puutarhan-hoito/puutarhalannoitteet/ia-juuan-hieno-puutarhakalkki-25-kg-2004599/</t>
  </si>
  <si>
    <t>Byggmax, EPS-kevytbetoni. https://www.byggmax.fi/eps-kevytbetoni-p01209</t>
  </si>
  <si>
    <t>Pihamaa, Laskuri, pihamaamulta. https://www.pihamaa.fi/Tuotteet/</t>
  </si>
  <si>
    <t>Stark, Sammutettu kalkki Nordkalk SL 10 kg. https://www.stark-suomi.fi/fi/sammutettu-kalkki-nordkalk-sl-10kg</t>
  </si>
  <si>
    <t/>
  </si>
  <si>
    <t>Oktomurske</t>
  </si>
  <si>
    <t>Vaahtolasimurske</t>
  </si>
  <si>
    <t>IKH, Lasimurska 0,2-0,5 mm 25 kg. https://www.ikh.fi/fi/lasimurska-0-2-0-5mm-25kg-lasi025</t>
  </si>
  <si>
    <t>IKH, Puhallus- ja saumarae okto 0,1-0,5mm 1000kg. https://www.ikh.fi/fi/puhallus--ja-saumausrae-okto-0-1-0-5mm-1000kg-wki006</t>
  </si>
  <si>
    <t>Hartman, Vaahtolasimurske Foamit 20p 1m3/sk. https://www.hartman.fi/fi/vaahtolasimurske-foamit-20-p-1m3-sk-sy65</t>
  </si>
  <si>
    <t>Jumeva, Lasimurska 200-300 mikrogrammaa 25 kg. https://jumeva.fi/product/183/lasimurska-200-300m-25kg</t>
  </si>
  <si>
    <t>IKH, Puhallus- ja saumarae okto 0,1-0,5mm 25kg. https://www.ikh.fi/fi/puhallus--ja-saumausrae-okto-0-5-1-5mm-25kg-wki005</t>
  </si>
  <si>
    <t>Ajoneuvo</t>
  </si>
  <si>
    <t>Kuljetettava matka</t>
  </si>
  <si>
    <t>kustannus</t>
  </si>
  <si>
    <t>Kuormakoko</t>
  </si>
  <si>
    <t>yksikkö</t>
  </si>
  <si>
    <t>Kuljetettava määrä</t>
  </si>
  <si>
    <t>t/vuosi</t>
  </si>
  <si>
    <r>
      <t xml:space="preserve">Kuljetuksien kustannukset </t>
    </r>
    <r>
      <rPr>
        <sz val="11"/>
        <color theme="1"/>
        <rFont val="Verdana"/>
        <family val="2"/>
        <scheme val="minor"/>
      </rPr>
      <t>(hinta riippuu kuljetusetäisyydestä, kuormakoosta, kuljetettavasta määrästä /vuosi)</t>
    </r>
  </si>
  <si>
    <t> </t>
  </si>
  <si>
    <t>Kuljetettava määrä vuodessa</t>
  </si>
  <si>
    <t>Kasettiautoyhdistelmä (45-50 t), diesel</t>
  </si>
  <si>
    <t>Laskettu VTT:n Lipaston tietojen mukaan.</t>
  </si>
  <si>
    <t>Laskettu Lipaston ohjeiden mukaisesti (Yksikköpäästökertoimet eri osakuormille: http://lipasto.vtt.fi/yksikkopaastot/guide_tie.htm). Laskennan pohja-arvoina käytetty maansiirtoautoa ilman perävaunua.</t>
  </si>
  <si>
    <t>Kuljetussäde</t>
  </si>
  <si>
    <t>Alueella toimivan toimittajan hinta-arvio 1.2022</t>
  </si>
  <si>
    <t>Kasettiautoyhdistelmä (45-50 t), uusiutuva diesel</t>
  </si>
  <si>
    <t>Vety-maansiirtoauto ilman perävaunua (19 t)</t>
  </si>
  <si>
    <t>Vety-kasettiautoyhdistelmä (45-50 t)</t>
  </si>
  <si>
    <t>LBG-maansiirtoauto ilman perävaunua (19 t)</t>
  </si>
  <si>
    <t>LBG-kasettiautoyhdistelmä (45-50 t)</t>
  </si>
  <si>
    <t>Kasettiauton kulutus laskettu maansiirtoauton kulutuksen kautta suhteutettuna painoon.</t>
  </si>
  <si>
    <t>LNG-maansiirtoauto ilman perävaunua (19 t)</t>
  </si>
  <si>
    <t>LNG-kasettiautoyhdistelmä (45-50 t)</t>
  </si>
  <si>
    <t>Sähkö-maansiirtoauto ilman perävaunua (19 t)</t>
  </si>
  <si>
    <t>Sähkö-kasettiautoyhdistelmä (45-50 t)</t>
  </si>
  <si>
    <t>Päästökerroin riippuu sähkön tuotantotavasta. Mikäli sähkö tuotetaan muuten kuin päästöttömästi, lisää o-sarakkeen kaavaan nollan tilalle päästökertoimeksi arvo yksikössä kgCO2e/l.</t>
  </si>
  <si>
    <t>Jäteauto (9 t)</t>
  </si>
  <si>
    <t>Polttoöljy</t>
  </si>
  <si>
    <t>Uusiutuva diesel</t>
  </si>
  <si>
    <t>LNG</t>
  </si>
  <si>
    <t>Biokaasu</t>
  </si>
  <si>
    <t>Vety</t>
  </si>
  <si>
    <t>Kulutettu energiatyyppi* (käytä ensisijaisesti tätä)</t>
  </si>
  <si>
    <t>Energia</t>
  </si>
  <si>
    <t>Vedyn polttaminen itsessään on päästötöntä, mutta päästöjä voi tulla vedyn tuotannossa riippuen tarvittavan sähkön tuotantotavasta.</t>
  </si>
  <si>
    <t>Energiatyypiltään</t>
  </si>
  <si>
    <t>Työkoneiden käyttö**</t>
  </si>
  <si>
    <t>Tai määrittele käytetyt työvaiheet***</t>
  </si>
  <si>
    <t>AFRYn arvioimat pohja-arvot</t>
  </si>
  <si>
    <t>Skenaario 2 - kustannuslaskenta</t>
  </si>
  <si>
    <t>Skenaario 2 - päästölaskenta</t>
  </si>
  <si>
    <t>Skenaario 1 -päästölaskenta</t>
  </si>
  <si>
    <t>Skenaario 1 - kustannuslaskenta</t>
  </si>
  <si>
    <t>Kokonaistulokset</t>
  </si>
  <si>
    <t>Moduulien selitykset:</t>
  </si>
  <si>
    <t>Materiaalit, A1 ja A3</t>
  </si>
  <si>
    <t xml:space="preserve">3. Rakentamisessa syntyneiden jätteiden käsittely ja kuljetus, A5 </t>
  </si>
  <si>
    <t>2. Rakentamisessa syntyneiden jätteiden käsittely ja kuljetus, A5</t>
  </si>
  <si>
    <t>​</t>
  </si>
  <si>
    <t>Käsikirjan ja laskentatyökälun merkittävin sovelluskohde on rakennusten purkamisessa syntyvän kierrätettävän materiaalin hyödyntäminen Utajärven teollisuusalueen infrarakentamisessa.</t>
  </si>
  <si>
    <t>Infrarakentamisen päästö- ja kustannuslaskentatyökalu</t>
  </si>
  <si>
    <t>Laskentatyökalu tulee olemaan kiinteä osa Utajärven teollisuusalueen infrahankkeiden suunnitteluprosessia ja sitä käyttämällä työkalun käyttäjä saa käsityksen eri toimintamallien päästö- ja kustannustasosta.</t>
  </si>
  <si>
    <r>
      <rPr>
        <b/>
        <sz val="10"/>
        <color theme="1"/>
        <rFont val="Verdana"/>
        <family val="2"/>
        <scheme val="minor"/>
      </rPr>
      <t>Työvaiheisiin perustuvat päästökertoimet</t>
    </r>
    <r>
      <rPr>
        <sz val="10"/>
        <color theme="1"/>
        <rFont val="Verdana"/>
        <family val="2"/>
        <scheme val="minor"/>
      </rPr>
      <t xml:space="preserve"> (huom. Näiden laskenta perustuu oletuksiin ja niiden kohdalla on jouduttu tekemään paljon arvioita. Näiden päästökertoimien todenmukaisuus on epävarmaa ja tuloksiin on suhtauduttava vain suuntaa-antavasti)</t>
    </r>
  </si>
  <si>
    <t>Kustannuslaskenta</t>
  </si>
  <si>
    <t>Kevytsoramurske</t>
  </si>
  <si>
    <t>Stark, Kevytsora Leca KS410 1000L. https://www.stark-suomi.fi/fi/kevytsora-leca-ks410-1000-l</t>
  </si>
  <si>
    <t>Taloon.com, Leca sora KS 420KAP/1000 4-20 mm 1000 l suursäkki. https://www.taloon.com/leca-sora-ks-420kap-1000-4-20-mm-1000-l-suursakki</t>
  </si>
  <si>
    <t>Kivimurske</t>
  </si>
  <si>
    <t>Porvoon sora ja multa. Murske 0/32 mm. https://porvoonsorajamulta.fi/sorakauppa/murske-0-32-mm/</t>
  </si>
  <si>
    <t>Ohje kuljetuskustannuslaskennan pävittämiseen uusilla tarjouksilla</t>
  </si>
  <si>
    <t>Kalliomursketta.fi. Murske 0-32 mm. http://www.kalliomursketta.fi/389674365</t>
  </si>
  <si>
    <t>Luonnonkivi (katukivi)</t>
  </si>
  <si>
    <t>Taloon.com, Pihakivi Lakka Katukivi 80 278 x 138 mm harmaa. https://www.taloon.com/pihakivi-lakka-katukivi-80-278x138x80-mm-harmaa</t>
  </si>
  <si>
    <t>e/m2</t>
  </si>
  <si>
    <t>kg/m2</t>
  </si>
  <si>
    <t>Rudus, Pihakivi 60. https://www.rudus.fi/tuotteet/pihakivet-ja-maisematuotteet/betonikivet/78/pihakivi</t>
  </si>
  <si>
    <t>Luonnonkivi (reunakivi)</t>
  </si>
  <si>
    <t>Rudus, Betonireunakivi l=500. https://www.rudus.fi/tuotteet/pihakivet-ja-maisematuotteet/betoniset-reunakivet/148/reunakivi-140-mm</t>
  </si>
  <si>
    <t>Taloon.com, Nurmikon reunakivi Lakka 600x135x80 mm harmaa, https://www.taloon.com/nurmikon-reunakivi-600x135x80-mm-harmaa</t>
  </si>
  <si>
    <t>Salaojaputki</t>
  </si>
  <si>
    <t>K-rauta, Salaojaputki Uponor 100 5m PVC valkoinen. https://www.k-rauta.fi/tuote/salaojaputki-uponor-100-5m-pvc-valkoinen/6414903020326</t>
  </si>
  <si>
    <t>Netrauta, SV-putki Meltex, 110/95mmx6m, SN8, tiivisteellä. https://www.netrauta.fi/sv-putki-meltex-110-95mm-x-6m-sn8-tiivisteella</t>
  </si>
  <si>
    <t xml:space="preserve"> 1) Pyydä tarjous €/t muodossa ja mainitse pyynnössäsi jokin karkea arvio vuosittain kuljetettavasta tonnimäärästä sekä kuljetuksien nouto ja toimituspaikat  </t>
  </si>
  <si>
    <t>Multalan sora. Seulottuhiekka ja soramurske. keskiarvo. http://www.multalansora.fi/hinnasto/</t>
  </si>
  <si>
    <t>Porvoon sora ja multa. Täytehiekka.</t>
  </si>
  <si>
    <t>Sora ja hiekka</t>
  </si>
  <si>
    <t>K-rauta, Tiili Terca PT punainen harjattu. https://www.k-rauta.fi/tuote/tiili-terca-pt-punainen-harjattu-257x123x57mm/6419140120389</t>
  </si>
  <si>
    <t>Stark, Tiili PRT punainen. https://www.stark-suomi.fi/fi/tiili-prt-257x123x57-mm-punainen</t>
  </si>
  <si>
    <t>Tiili (punainen)</t>
  </si>
  <si>
    <t>Stark, väliseinätiili Kahi. https://www.stark-suomi.fi/fi/v%C3%A4lisein%C3%A4tiili-kahi-nkh-270x130x75-mm</t>
  </si>
  <si>
    <t>Netrauta, julkisivutiili Wienerberger MRT 75. https://www.netrauta.fi/julkisivutiili-wienerberger-mrt-75-285x85x75mm-tuohi-karhea</t>
  </si>
  <si>
    <t xml:space="preserve">      ja jos mahdollista, mainitse myös toimituksien frekvenssi esim. kerran viikossa, kuukaudessa tms. (hinnat voi samalla pyytää myös useampaan tonnimäärä-arvioon, esim. sekä 30 000 t ja 60 000 t vuodessa).</t>
  </si>
  <si>
    <t xml:space="preserve">      Kysy pyynnössä myös minkälaisella kalustolla kuljetukset tapahtuisi.</t>
  </si>
  <si>
    <t xml:space="preserve"> 2) Toimittajan €/t tarjouksen saa muunnettua laskuriin €/km muotoon laskennalla : €/km = (tarjottu €/t hinta * kuljetettava t määrä) / kuljetettava km etäisyys.</t>
  </si>
  <si>
    <t xml:space="preserve"> 3) Lisää €/km hinta kustannuslaskuriin.</t>
  </si>
  <si>
    <t xml:space="preserve"> *Huom. jos tarjous on muodossa €/t/km  : tarjouksen saa muunnettua laskuriin €/km muotoon laskennalla : €/km = (tarjottu €/t/km hinta * kuljetettava t määrä * kuljetettava km etäisyys ) / kuljetettava km etäisyys.</t>
  </si>
  <si>
    <t>Arvioitu traktorin nopeudeksi 50 km/h ja kantavuudeksi 10 t.</t>
  </si>
  <si>
    <t>Traktori</t>
  </si>
  <si>
    <t>Laskurin käyttäjä voi lisätä näihin kohtiin lisäämiensä materiaalien kustannuksia.</t>
  </si>
  <si>
    <t>Materiaalien lisäys tehdään Päästökertoimet-välilehdellä vihreisiin soluihin.</t>
  </si>
  <si>
    <t>Ohjeistus päästölaskentaosion täyttöön:</t>
  </si>
  <si>
    <t>Ohjeistus kustannuslaskentaosion täyttöön:</t>
  </si>
  <si>
    <t>This calculator has been created during spring 2022 by AFRY Finland Oy (“AFRY”). AFRY is neither responsible for the reliability of the initial data filled by the user, nor shall it be held liable for the emission factors and estimates for cost calculation used in the calculator. The emission factors and estimates for cost calculation were selected from publicly open sources or they are based on public sources and interviews conducted for this project. Thus, AFRY can't assure the reliability of the data generated by other parties.</t>
  </si>
  <si>
    <t>This calculator has been prepared for the municipality of Utajärvi (the “Recipient”). The Recipient may freely distribute this calculator to their partner companies, authorities and other municipalities (the “Calculator user”), taking into account the pre-agreed transferability objectives. The Recipient and the Calculator user can use the calculator to determine carbon footprints and costs of their construction operations or other infrastructure projects.</t>
  </si>
  <si>
    <t xml:space="preserve">The Recipient and the Calculator user are allowed to update the data and develop the calculator at their own risk. All other use is strictly prohibited (e.g. resale or sales of the calculation services). By accepting delivery of this calculator, the Recipient acknowledges and agrees to the terms of this disclaimer. The Recipient and the Calculator user are solely responsible for the use, the results and the correctness of their calculations. </t>
  </si>
  <si>
    <t xml:space="preserve">Nothing in this calculator is or shall be relied upon as a promise or representation of future events or results. AFRY has prepared this calculator based on available information at the time of its preparation and has no duty to update this calculator unless separately agreed with the Recipient. </t>
  </si>
  <si>
    <t>AFRY is not responsible for any changes made to the calculator by the Recipient or the Calculator user. Also, the Recipient is neither responsible for the data in the calculator, nor shall it be held liable for the results and information gained by the use of the calculator by the Calculator user. The Calculator user is solely responsible for the use, the results and the correctness of the calculations.</t>
  </si>
  <si>
    <t>Päästölaskentatyökalu pohjautuu kestävän rakentamisen standardin EN 15978 moduuleihin A1-A5.</t>
  </si>
  <si>
    <t>Päästöjen tarkastelu käytetyn laskentaohjeistuksen mukaisesti</t>
  </si>
  <si>
    <t>Energiavirasto, 2022. Jäännösjakauma v. 2021.</t>
  </si>
  <si>
    <t>^Lisää uusiin työkoneisiin päästökerroin molempiin vaihtoehtoihin, riippumatta siitä tuleeko sille arvoa vai ei.</t>
  </si>
  <si>
    <t>DEFRA, 2022. Conversion factors 2022. Gas oil.</t>
  </si>
  <si>
    <t>DEFRA, 2022. Conversion factors 2022. Diesel (average biofuel blend)</t>
  </si>
  <si>
    <t>Kaasun kulutus autossa (27,2 kg/100km): https://www.volvotrucks.fi/fi-fi/news/magazine-online/2020/dec/volvo-fh-lng--taloudellisesti-pienillae-paeaestoeillae.html. LNG:n päästöt: Tilastokeskus, Polttoaineluokitus 2022.</t>
  </si>
  <si>
    <t>Kaasun kulutus autossa (27,2 kg/100km): https://www.volvotrucks.fi/fi-fi/news/magazine-online/2020/dec/volvo-fh-lng--taloudellisesti-pienillae-paeaestoeillae.html. LNG:n päästöt: Tilastokeskus, Polttoaineluokitus 2021.</t>
  </si>
  <si>
    <t>Kaasun kulutus autossa (27,2 kg/100km): https://www.volvotrucks.fi/fi-fi/news/magazine-online/2020/dec/volvo-fh-lng--taloudellisesti-pienillae-paeaestoeillae.html. Biokaasun päästöt polton aikana nolla (biogeeninen polttoaine).</t>
  </si>
  <si>
    <t>Päästökerroin (käytön päästöt)</t>
  </si>
  <si>
    <t>Julia 2030- hanke (sis. Jätteen esikäsittelyn - ei kierrätystä tai energiakäyttöä). Kuljetus lasketaan erikseen.</t>
  </si>
  <si>
    <t>Lähteet työkoneisiin:</t>
  </si>
  <si>
    <r>
      <t>Päästökerroin riippuu vedyn tuotantotavasta. Mikäli vety tuotetaan muuten kuin päästöttömästi, lisää o-sarakkeen kaavaan nollan tilalle päästökertoimeksi arvo yksikössä kgCO2e/l.</t>
    </r>
    <r>
      <rPr>
        <i/>
        <sz val="11"/>
        <color theme="1"/>
        <rFont val="Verdana"/>
        <family val="2"/>
        <scheme val="minor"/>
      </rPr>
      <t xml:space="preserve"> </t>
    </r>
    <r>
      <rPr>
        <sz val="11"/>
        <color theme="1"/>
        <rFont val="Verdana"/>
        <family val="2"/>
        <scheme val="minor"/>
      </rPr>
      <t>Kasettiauton kulutus laskettu maansiirtoauton kulutuksen kautta suhteutettuna painoon.</t>
    </r>
  </si>
  <si>
    <t>Päästökerroin riippuu vedyn tuotantotavasta. Mikäli vety tuotetaan muuten kuin päästöttömästi, lisää o-sarakkeen kaavaan nollan tilalle päästökertoimeksi arvo yksikössä kgCO2e/l.</t>
  </si>
  <si>
    <t>Aputaulukko</t>
  </si>
  <si>
    <t xml:space="preserve">Jätteiden päästöt (kgCO2e) </t>
  </si>
  <si>
    <t>Jätteiden päästöt (kgCO2e)</t>
  </si>
  <si>
    <t>VTT Lipasto, 2016. Maansiirtoauto ilman perävaunua. Ka v. 2016. http://lipasto.vtt.fi/yksikkopaastot/tavaraliikenne/tieliikenne/kamaanstie.htm</t>
  </si>
  <si>
    <t>VTT Lipasto, 2016. Maansiirtoauto ilman perävaunua. Kulutus [l/tkm]. Ka v. 2016. http://lipasto.vtt.fi/yksikkopaastot/tavaraliikenne/tieliikenne/kamaanstie.htm &amp; Uusiutuvan dieselin päästökerroin polton ajalta = 0 kgCO2e/l</t>
  </si>
  <si>
    <t>VTT Lipasto, 2016. Maansiirtoauto ilman perävaunua. Kulutus [l/tkm]. Ka v. 2016. http://lipasto.vtt.fi/yksikkopaastot/tavaraliikenne/tieliikenne/kamaanstie.htm &amp; Vedyn päästökerroin arvioitu nollaksi.</t>
  </si>
  <si>
    <t>VTT Lipasto, 2016. Maansiirtoauto ilman perävaunua. Kulutus [l/tkm]. Ka v. 2016. http://lipasto.vtt.fi/yksikkopaastot/tavaraliikenne/tieliikenne/kamaanstie.htm &amp; Sähkön päästökerroin arvioitu nollaksi.</t>
  </si>
  <si>
    <t>VTT Lipasto, 2016. Dieselkäyttöisen sekatavarajunan päästöt ja energiankäyttö Suomessa vuonna 2016. http://lipasto.vtt.fi/yksikkopaastot/tavaraliikenne/raideliikenne/sekatavaradiesel.htm</t>
  </si>
  <si>
    <t>VTT Lipasto, 2016. Dieselkäyttöisen konttijunan päästöt ja energiankäyttö Suomessa vuonna 2016. http://lipasto.vtt.fi/yksikkopaastot/tavaraliikenne/raideliikenne/konttidiesel.htm</t>
  </si>
  <si>
    <t>VTT Lipasto, 2016. Sähkökäyttöisen sekatavarajunan energiankäyttö Suomessa vuonna 2016. http://lipasto.vtt.fi/yksikkopaastot/tavaraliikenne/raideliikenne/sekatavarasahko.htm &amp; Energiavirasto, 2022. Jäännösjakauma 2021. https://energiavirasto.fi/documents/11120570/12762067/J%C3%A4%C3%A4nn%C3%B6sjakauma+2020+julkaisu+FI_allekirjoitettu.pdf/8d3b7967-070b-c4e4-66ca-1f842e363efc/J%C3%A4%C3%A4nn%C3%B6sjakauma+2020+julkaisu+FI_allekirjoitettu.pdf?t=1624347965619</t>
  </si>
  <si>
    <t>VTT Lipasto, 2016. Sähkökäyttöisen konttijunan energiankäyttö Suomessa vuonna 2016. &amp; Energiavirasto, 2021. Jäännösjakauma 2020. https://energiavirasto.fi/documents/11120570/12762067/J%C3%A4%C3%A4nn%C3%B6sjakauma+2020+julkaisu+FI_allekirjoitettu.pdf/8d3b7967-070b-c4e4-66ca-1f842e363efc/J%C3%A4%C3%A4nn%C3%B6sjakauma+2020+julkaisu+FI_allekirjoitettu.pdf?t=1624347965619</t>
  </si>
  <si>
    <t>VTT Lipasto, 2016. Suuri jakelukuorma-auto. Maantieajo. Ka v. 2016.</t>
  </si>
  <si>
    <t xml:space="preserve">VTT Lipasto, 2016. (Työkoneiden keskimääräinen päästö ja energia Suomessa vuonna 2016. Kunnossapitotraktori.) Motiva &amp; MMM, 2011. Traktorin taloudellinen ajotapa (Kuljetusten litrakulutus 5 l/h). </t>
  </si>
  <si>
    <t>VTT Lipasto, 2016. Työkoneiden keskimääräisen päästö ja energia polttoainelitraa kohden Suomessa vuonna 2016 (kgCO2e/h). 
DEFRA, 2022. Conversion factors 2022. Diesel, LPG (kgCO2e/l). Tilastokeskus 2022. Polttoaineluokitus 2022. Bensiini (kgCO2e/l)</t>
  </si>
  <si>
    <t>DEFRA, 2022. Conversion factors 2022. Petrol (average biofuel blend)</t>
  </si>
  <si>
    <t>DEFRA, 2022. Conversion factors 2022. Biodiesel HVO</t>
  </si>
  <si>
    <t>DEFRA, 2022. Conversion factors 2022. LNG</t>
  </si>
  <si>
    <t>DEFRA, 2022. Conversion factors 2022. Biogas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</si>
</sst>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0.0"/>
    <numFmt numFmtId="166" formatCode="0.0000"/>
    <numFmt numFmtId="167" formatCode="0.00000"/>
    <numFmt numFmtId="168" formatCode="#,##0.0"/>
  </numFmts>
  <fonts count="25" x14ac:knownFonts="1">
    <font>
      <sz val="11"/>
      <color theme="1"/>
      <name val="Verdana"/>
      <family val="2"/>
      <scheme val="minor"/>
    </font>
    <font>
      <b/>
      <sz val="11"/>
      <color theme="1"/>
      <name val="Verdana"/>
      <family val="2"/>
      <scheme val="minor"/>
    </font>
    <font>
      <sz val="8"/>
      <name val="Verdana"/>
      <family val="2"/>
      <scheme val="minor"/>
    </font>
    <font>
      <b/>
      <sz val="15"/>
      <color theme="3"/>
      <name val="Verdana"/>
      <family val="2"/>
      <scheme val="minor"/>
    </font>
    <font>
      <sz val="11"/>
      <color rgb="FFFF0000"/>
      <name val="Verdana"/>
      <family val="2"/>
      <scheme val="minor"/>
    </font>
    <font>
      <sz val="9"/>
      <color indexed="81"/>
      <name val="Tahoma"/>
      <family val="2"/>
    </font>
    <font>
      <b/>
      <sz val="9"/>
      <color indexed="81"/>
      <name val="Tahoma"/>
      <family val="2"/>
    </font>
    <font>
      <sz val="11"/>
      <name val="Verdana"/>
      <family val="2"/>
      <scheme val="minor"/>
    </font>
    <font>
      <b/>
      <sz val="14"/>
      <color theme="1"/>
      <name val="Verdana"/>
      <family val="2"/>
      <scheme val="minor"/>
    </font>
    <font>
      <i/>
      <sz val="11"/>
      <color theme="1"/>
      <name val="Verdana"/>
      <family val="2"/>
      <scheme val="minor"/>
    </font>
    <font>
      <u/>
      <sz val="11"/>
      <color theme="10"/>
      <name val="Verdana"/>
      <family val="2"/>
      <scheme val="minor"/>
    </font>
    <font>
      <b/>
      <sz val="16"/>
      <color theme="1"/>
      <name val="Verdana"/>
      <family val="2"/>
      <scheme val="minor"/>
    </font>
    <font>
      <b/>
      <sz val="11"/>
      <color theme="3"/>
      <name val="Verdana"/>
      <family val="2"/>
      <scheme val="minor"/>
    </font>
    <font>
      <b/>
      <sz val="12"/>
      <color theme="3"/>
      <name val="Verdana"/>
      <family val="2"/>
      <scheme val="minor"/>
    </font>
    <font>
      <b/>
      <sz val="11"/>
      <name val="Verdana"/>
      <family val="2"/>
      <scheme val="minor"/>
    </font>
    <font>
      <sz val="18"/>
      <color theme="1"/>
      <name val="Verdana"/>
      <family val="2"/>
      <scheme val="minor"/>
    </font>
    <font>
      <sz val="11"/>
      <color rgb="FF000000"/>
      <name val="Verdana"/>
      <family val="2"/>
    </font>
    <font>
      <b/>
      <sz val="11"/>
      <color rgb="FFFF0000"/>
      <name val="Verdana"/>
      <family val="2"/>
      <scheme val="minor"/>
    </font>
    <font>
      <b/>
      <sz val="16"/>
      <color theme="3"/>
      <name val="Verdana"/>
      <family val="2"/>
      <scheme val="minor"/>
    </font>
    <font>
      <i/>
      <sz val="8"/>
      <name val="Verdana"/>
      <family val="2"/>
      <scheme val="minor"/>
    </font>
    <font>
      <i/>
      <sz val="8"/>
      <color theme="1"/>
      <name val="Verdana"/>
      <family val="2"/>
      <scheme val="minor"/>
    </font>
    <font>
      <sz val="10"/>
      <color theme="1"/>
      <name val="Verdana"/>
      <family val="2"/>
      <scheme val="minor"/>
    </font>
    <font>
      <b/>
      <sz val="10"/>
      <color theme="1"/>
      <name val="Verdana"/>
      <family val="2"/>
      <scheme val="minor"/>
    </font>
    <font>
      <b/>
      <sz val="11"/>
      <color rgb="FF000000"/>
      <name val="Verdana"/>
      <family val="2"/>
    </font>
    <font>
      <i/>
      <sz val="8"/>
      <color rgb="FFFF0000"/>
      <name val="Verdana"/>
      <family val="2"/>
      <scheme val="minor"/>
    </font>
  </fonts>
  <fills count="22">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theme="7" tint="0.39997558519241921"/>
        <bgColor indexed="64"/>
      </patternFill>
    </fill>
    <fill>
      <patternFill patternType="solid">
        <fgColor theme="4" tint="-9.9978637043366805E-2"/>
        <bgColor indexed="64"/>
      </patternFill>
    </fill>
    <fill>
      <patternFill patternType="solid">
        <fgColor theme="5" tint="0.39997558519241921"/>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5" tint="0.79998168889431442"/>
        <bgColor indexed="64"/>
      </patternFill>
    </fill>
    <fill>
      <patternFill patternType="solid">
        <fgColor theme="8"/>
        <bgColor indexed="64"/>
      </patternFill>
    </fill>
    <fill>
      <patternFill patternType="solid">
        <fgColor theme="4" tint="-0.249977111117893"/>
        <bgColor indexed="64"/>
      </patternFill>
    </fill>
    <fill>
      <patternFill patternType="solid">
        <fgColor theme="2" tint="-0.249977111117893"/>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9.9978637043366805E-2"/>
        <bgColor indexed="64"/>
      </patternFill>
    </fill>
    <fill>
      <patternFill patternType="solid">
        <fgColor theme="9"/>
        <bgColor indexed="64"/>
      </patternFill>
    </fill>
    <fill>
      <patternFill patternType="solid">
        <fgColor theme="2"/>
        <bgColor indexed="64"/>
      </patternFill>
    </fill>
    <fill>
      <patternFill patternType="solid">
        <fgColor theme="0"/>
        <bgColor rgb="FF000000"/>
      </patternFill>
    </fill>
    <fill>
      <patternFill patternType="solid">
        <fgColor theme="7" tint="0.79998168889431442"/>
        <bgColor rgb="FF000000"/>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ck">
        <color theme="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4">
    <xf numFmtId="0" fontId="0" fillId="0" borderId="0"/>
    <xf numFmtId="0" fontId="3" fillId="0" borderId="10" applyNumberFormat="0" applyFill="0" applyAlignment="0" applyProtection="0"/>
    <xf numFmtId="0" fontId="10" fillId="0" borderId="0" applyNumberFormat="0" applyFill="0" applyBorder="0" applyAlignment="0" applyProtection="0"/>
    <xf numFmtId="0" fontId="12" fillId="0" borderId="0" applyNumberFormat="0" applyFill="0" applyBorder="0" applyAlignment="0" applyProtection="0"/>
  </cellStyleXfs>
  <cellXfs count="355">
    <xf numFmtId="0" fontId="0" fillId="0" borderId="0" xfId="0"/>
    <xf numFmtId="0" fontId="0" fillId="2" borderId="0" xfId="0" applyFill="1"/>
    <xf numFmtId="0" fontId="3" fillId="2" borderId="10" xfId="1" applyFill="1"/>
    <xf numFmtId="0" fontId="1" fillId="2" borderId="2" xfId="0" applyFont="1" applyFill="1" applyBorder="1"/>
    <xf numFmtId="0" fontId="0" fillId="2" borderId="3" xfId="0" applyFill="1" applyBorder="1"/>
    <xf numFmtId="0" fontId="0" fillId="2" borderId="4" xfId="0" applyFill="1" applyBorder="1"/>
    <xf numFmtId="0" fontId="1" fillId="2" borderId="5" xfId="0" applyFont="1" applyFill="1" applyBorder="1"/>
    <xf numFmtId="0" fontId="0" fillId="2" borderId="6" xfId="0" applyFill="1" applyBorder="1"/>
    <xf numFmtId="0" fontId="0" fillId="2" borderId="5" xfId="0" applyFill="1" applyBorder="1"/>
    <xf numFmtId="0" fontId="0" fillId="2" borderId="7" xfId="0" applyFill="1" applyBorder="1"/>
    <xf numFmtId="0" fontId="0" fillId="2" borderId="8" xfId="0" applyFill="1" applyBorder="1"/>
    <xf numFmtId="0" fontId="0" fillId="2" borderId="9" xfId="0" applyFill="1" applyBorder="1"/>
    <xf numFmtId="0" fontId="0" fillId="2" borderId="2" xfId="0" applyFill="1" applyBorder="1"/>
    <xf numFmtId="0" fontId="7" fillId="2" borderId="5" xfId="0" applyFont="1" applyFill="1" applyBorder="1"/>
    <xf numFmtId="0" fontId="0" fillId="2" borderId="13" xfId="0" applyFill="1" applyBorder="1"/>
    <xf numFmtId="0" fontId="0" fillId="2" borderId="14" xfId="0" applyFill="1" applyBorder="1"/>
    <xf numFmtId="0" fontId="0" fillId="2" borderId="0" xfId="0" quotePrefix="1" applyFill="1"/>
    <xf numFmtId="0" fontId="1" fillId="2" borderId="0" xfId="0" applyFont="1" applyFill="1"/>
    <xf numFmtId="0" fontId="4" fillId="2" borderId="0" xfId="0" applyFont="1" applyFill="1"/>
    <xf numFmtId="0" fontId="0" fillId="2" borderId="5" xfId="0" applyFill="1" applyBorder="1" applyAlignment="1">
      <alignment wrapText="1"/>
    </xf>
    <xf numFmtId="2" fontId="0" fillId="2" borderId="13" xfId="0" applyNumberFormat="1" applyFill="1" applyBorder="1"/>
    <xf numFmtId="2" fontId="0" fillId="2" borderId="14" xfId="0" applyNumberFormat="1" applyFill="1" applyBorder="1"/>
    <xf numFmtId="0" fontId="0" fillId="2" borderId="20" xfId="0" applyFill="1" applyBorder="1"/>
    <xf numFmtId="0" fontId="0" fillId="2" borderId="18" xfId="0" applyFill="1" applyBorder="1"/>
    <xf numFmtId="0" fontId="1" fillId="2" borderId="0" xfId="0" applyFont="1" applyFill="1" applyAlignment="1">
      <alignment wrapText="1"/>
    </xf>
    <xf numFmtId="0" fontId="1" fillId="8" borderId="2" xfId="0" applyFont="1" applyFill="1" applyBorder="1"/>
    <xf numFmtId="0" fontId="1" fillId="8" borderId="5" xfId="0" applyFont="1" applyFill="1" applyBorder="1" applyAlignment="1">
      <alignment wrapText="1"/>
    </xf>
    <xf numFmtId="0" fontId="0" fillId="8" borderId="5" xfId="0" applyFill="1" applyBorder="1"/>
    <xf numFmtId="0" fontId="7" fillId="2" borderId="5" xfId="0" applyFont="1" applyFill="1" applyBorder="1" applyAlignment="1">
      <alignment wrapText="1"/>
    </xf>
    <xf numFmtId="0" fontId="7" fillId="2" borderId="14" xfId="0" applyFont="1" applyFill="1" applyBorder="1"/>
    <xf numFmtId="164" fontId="7" fillId="2" borderId="14" xfId="0" applyNumberFormat="1" applyFont="1" applyFill="1" applyBorder="1"/>
    <xf numFmtId="0" fontId="7" fillId="2" borderId="2" xfId="0" applyFont="1" applyFill="1" applyBorder="1"/>
    <xf numFmtId="2" fontId="0" fillId="7" borderId="14" xfId="0" applyNumberFormat="1" applyFill="1" applyBorder="1"/>
    <xf numFmtId="0" fontId="0" fillId="2" borderId="0" xfId="0" applyFill="1" applyAlignment="1">
      <alignment horizontal="center"/>
    </xf>
    <xf numFmtId="0" fontId="1" fillId="2" borderId="3" xfId="0" applyFont="1" applyFill="1" applyBorder="1"/>
    <xf numFmtId="0" fontId="1" fillId="2" borderId="5" xfId="0" applyFont="1" applyFill="1" applyBorder="1" applyAlignment="1">
      <alignment wrapText="1"/>
    </xf>
    <xf numFmtId="0" fontId="0" fillId="2" borderId="0" xfId="0" applyFill="1" applyAlignment="1">
      <alignment wrapText="1"/>
    </xf>
    <xf numFmtId="0" fontId="0" fillId="8" borderId="2" xfId="0" applyFill="1" applyBorder="1"/>
    <xf numFmtId="0" fontId="0" fillId="8" borderId="7" xfId="0" applyFill="1" applyBorder="1"/>
    <xf numFmtId="1" fontId="8" fillId="5" borderId="4" xfId="0" applyNumberFormat="1" applyFont="1" applyFill="1" applyBorder="1"/>
    <xf numFmtId="1" fontId="8" fillId="5" borderId="6" xfId="0" applyNumberFormat="1" applyFont="1" applyFill="1" applyBorder="1"/>
    <xf numFmtId="1" fontId="8" fillId="3" borderId="4" xfId="0" applyNumberFormat="1" applyFont="1" applyFill="1" applyBorder="1"/>
    <xf numFmtId="1" fontId="8" fillId="3" borderId="6" xfId="0" applyNumberFormat="1" applyFont="1" applyFill="1" applyBorder="1"/>
    <xf numFmtId="1" fontId="8" fillId="2" borderId="0" xfId="0" applyNumberFormat="1" applyFont="1" applyFill="1"/>
    <xf numFmtId="0" fontId="8" fillId="5" borderId="4" xfId="0" applyFont="1" applyFill="1" applyBorder="1"/>
    <xf numFmtId="0" fontId="8" fillId="2" borderId="0" xfId="0" applyFont="1" applyFill="1" applyAlignment="1">
      <alignment wrapText="1"/>
    </xf>
    <xf numFmtId="0" fontId="8" fillId="3" borderId="6" xfId="0" applyFont="1" applyFill="1" applyBorder="1"/>
    <xf numFmtId="1" fontId="8" fillId="13" borderId="4" xfId="0" applyNumberFormat="1" applyFont="1" applyFill="1" applyBorder="1"/>
    <xf numFmtId="1" fontId="8" fillId="13" borderId="9" xfId="0" applyNumberFormat="1" applyFont="1" applyFill="1" applyBorder="1"/>
    <xf numFmtId="0" fontId="8" fillId="13" borderId="18" xfId="0" applyFont="1" applyFill="1" applyBorder="1" applyAlignment="1">
      <alignment wrapText="1"/>
    </xf>
    <xf numFmtId="0" fontId="1" fillId="8" borderId="4" xfId="0" applyFont="1" applyFill="1" applyBorder="1"/>
    <xf numFmtId="0" fontId="1" fillId="8" borderId="6" xfId="0" applyFont="1" applyFill="1" applyBorder="1" applyAlignment="1">
      <alignment wrapText="1"/>
    </xf>
    <xf numFmtId="0" fontId="0" fillId="8" borderId="9" xfId="0" applyFill="1" applyBorder="1"/>
    <xf numFmtId="0" fontId="0" fillId="8" borderId="3" xfId="0" applyFill="1" applyBorder="1"/>
    <xf numFmtId="0" fontId="0" fillId="8" borderId="4" xfId="0" applyFill="1" applyBorder="1"/>
    <xf numFmtId="0" fontId="0" fillId="8" borderId="0" xfId="0" applyFill="1"/>
    <xf numFmtId="0" fontId="0" fillId="8" borderId="6" xfId="0" applyFill="1" applyBorder="1"/>
    <xf numFmtId="0" fontId="0" fillId="8" borderId="8" xfId="0" applyFill="1" applyBorder="1"/>
    <xf numFmtId="1" fontId="0" fillId="2" borderId="14" xfId="0" applyNumberFormat="1" applyFill="1" applyBorder="1"/>
    <xf numFmtId="0" fontId="0" fillId="2" borderId="6" xfId="0" applyFill="1" applyBorder="1" applyAlignment="1">
      <alignment wrapText="1"/>
    </xf>
    <xf numFmtId="0" fontId="7" fillId="2" borderId="6" xfId="0" applyFont="1" applyFill="1" applyBorder="1" applyAlignment="1">
      <alignment wrapText="1"/>
    </xf>
    <xf numFmtId="0" fontId="7" fillId="2" borderId="6" xfId="0" applyFont="1" applyFill="1" applyBorder="1"/>
    <xf numFmtId="0" fontId="7" fillId="2" borderId="4" xfId="0" applyFont="1" applyFill="1" applyBorder="1"/>
    <xf numFmtId="0" fontId="0" fillId="2" borderId="19" xfId="0" applyFill="1" applyBorder="1"/>
    <xf numFmtId="0" fontId="0" fillId="2" borderId="15" xfId="0" applyFill="1" applyBorder="1"/>
    <xf numFmtId="0" fontId="1" fillId="8" borderId="5" xfId="0" applyFont="1" applyFill="1" applyBorder="1"/>
    <xf numFmtId="0" fontId="0" fillId="2" borderId="2" xfId="0" applyFill="1" applyBorder="1" applyAlignment="1">
      <alignment wrapText="1"/>
    </xf>
    <xf numFmtId="0" fontId="0" fillId="2" borderId="8" xfId="0" applyFill="1" applyBorder="1" applyAlignment="1">
      <alignment wrapText="1"/>
    </xf>
    <xf numFmtId="2" fontId="0" fillId="2" borderId="3" xfId="0" applyNumberFormat="1" applyFill="1" applyBorder="1"/>
    <xf numFmtId="0" fontId="10" fillId="2" borderId="4" xfId="2" applyFill="1" applyBorder="1"/>
    <xf numFmtId="0" fontId="0" fillId="2" borderId="5" xfId="0" applyFill="1" applyBorder="1" applyAlignment="1">
      <alignment horizontal="right"/>
    </xf>
    <xf numFmtId="0" fontId="0" fillId="2" borderId="5" xfId="0" applyFill="1" applyBorder="1" applyAlignment="1">
      <alignment horizontal="right" wrapText="1"/>
    </xf>
    <xf numFmtId="0" fontId="0" fillId="2" borderId="7" xfId="0" applyFill="1" applyBorder="1" applyAlignment="1">
      <alignment horizontal="right"/>
    </xf>
    <xf numFmtId="0" fontId="0" fillId="2" borderId="5" xfId="0" applyFill="1" applyBorder="1" applyAlignment="1">
      <alignment horizontal="left" wrapText="1"/>
    </xf>
    <xf numFmtId="0" fontId="0" fillId="2" borderId="2" xfId="0" applyFill="1" applyBorder="1" applyAlignment="1">
      <alignment horizontal="left" wrapText="1"/>
    </xf>
    <xf numFmtId="0" fontId="9" fillId="2" borderId="0" xfId="0" applyFont="1" applyFill="1"/>
    <xf numFmtId="165" fontId="0" fillId="2" borderId="0" xfId="0" applyNumberFormat="1" applyFill="1"/>
    <xf numFmtId="0" fontId="0" fillId="2" borderId="7" xfId="0" applyFill="1" applyBorder="1" applyAlignment="1">
      <alignment horizontal="right" wrapText="1"/>
    </xf>
    <xf numFmtId="166" fontId="0" fillId="2" borderId="0" xfId="0" applyNumberFormat="1" applyFill="1"/>
    <xf numFmtId="2" fontId="0" fillId="2" borderId="0" xfId="0" applyNumberFormat="1" applyFill="1"/>
    <xf numFmtId="164" fontId="0" fillId="2" borderId="3" xfId="0" applyNumberFormat="1" applyFill="1" applyBorder="1"/>
    <xf numFmtId="9" fontId="0" fillId="2" borderId="3" xfId="0" applyNumberFormat="1" applyFill="1" applyBorder="1"/>
    <xf numFmtId="9" fontId="0" fillId="2" borderId="8" xfId="0" applyNumberFormat="1" applyFill="1" applyBorder="1"/>
    <xf numFmtId="9" fontId="0" fillId="2" borderId="0" xfId="0" applyNumberFormat="1" applyFill="1"/>
    <xf numFmtId="164" fontId="0" fillId="2" borderId="8" xfId="0" applyNumberFormat="1" applyFill="1" applyBorder="1"/>
    <xf numFmtId="9" fontId="0" fillId="2" borderId="20" xfId="0" applyNumberFormat="1" applyFill="1" applyBorder="1"/>
    <xf numFmtId="2" fontId="1" fillId="2" borderId="4" xfId="0" applyNumberFormat="1" applyFont="1" applyFill="1" applyBorder="1"/>
    <xf numFmtId="0" fontId="1" fillId="2" borderId="6" xfId="0" applyFont="1" applyFill="1" applyBorder="1"/>
    <xf numFmtId="2" fontId="1" fillId="2" borderId="18" xfId="0" applyNumberFormat="1" applyFont="1" applyFill="1" applyBorder="1"/>
    <xf numFmtId="2" fontId="1" fillId="2" borderId="6" xfId="0" applyNumberFormat="1" applyFont="1" applyFill="1" applyBorder="1"/>
    <xf numFmtId="0" fontId="1" fillId="2" borderId="9" xfId="0" applyFont="1" applyFill="1" applyBorder="1"/>
    <xf numFmtId="2" fontId="1" fillId="2" borderId="9" xfId="0" applyNumberFormat="1" applyFont="1" applyFill="1" applyBorder="1"/>
    <xf numFmtId="2" fontId="7" fillId="2" borderId="14" xfId="0" applyNumberFormat="1" applyFont="1" applyFill="1" applyBorder="1"/>
    <xf numFmtId="0" fontId="7" fillId="2" borderId="0" xfId="0" applyFont="1" applyFill="1"/>
    <xf numFmtId="0" fontId="1" fillId="8" borderId="2" xfId="0" applyFont="1" applyFill="1" applyBorder="1" applyAlignment="1">
      <alignment wrapText="1"/>
    </xf>
    <xf numFmtId="0" fontId="1" fillId="8" borderId="0" xfId="0" applyFont="1" applyFill="1"/>
    <xf numFmtId="0" fontId="11" fillId="2" borderId="5" xfId="0" applyFont="1" applyFill="1" applyBorder="1"/>
    <xf numFmtId="0" fontId="11" fillId="2" borderId="2" xfId="0" applyFont="1" applyFill="1" applyBorder="1"/>
    <xf numFmtId="0" fontId="11" fillId="2" borderId="0" xfId="0" applyFont="1" applyFill="1" applyAlignment="1">
      <alignment wrapText="1"/>
    </xf>
    <xf numFmtId="0" fontId="0" fillId="3" borderId="16" xfId="0" applyFill="1" applyBorder="1"/>
    <xf numFmtId="0" fontId="0" fillId="3" borderId="17" xfId="0" applyFill="1" applyBorder="1"/>
    <xf numFmtId="0" fontId="0" fillId="15" borderId="1" xfId="0" applyFill="1" applyBorder="1"/>
    <xf numFmtId="0" fontId="0" fillId="16" borderId="1" xfId="0" applyFill="1" applyBorder="1"/>
    <xf numFmtId="0" fontId="0" fillId="2" borderId="1" xfId="0" applyFill="1" applyBorder="1"/>
    <xf numFmtId="1" fontId="0" fillId="2" borderId="1" xfId="0" applyNumberFormat="1" applyFill="1" applyBorder="1"/>
    <xf numFmtId="0" fontId="0" fillId="10" borderId="1" xfId="0" applyFill="1" applyBorder="1"/>
    <xf numFmtId="0" fontId="0" fillId="9" borderId="1" xfId="0" applyFill="1" applyBorder="1" applyAlignment="1">
      <alignment wrapText="1"/>
    </xf>
    <xf numFmtId="0" fontId="0" fillId="4" borderId="1" xfId="0" applyFill="1" applyBorder="1"/>
    <xf numFmtId="0" fontId="0" fillId="7" borderId="1" xfId="0" applyFill="1" applyBorder="1" applyAlignment="1">
      <alignment wrapText="1"/>
    </xf>
    <xf numFmtId="0" fontId="0" fillId="18" borderId="0" xfId="0" applyFill="1"/>
    <xf numFmtId="0" fontId="0" fillId="9" borderId="2" xfId="0" applyFill="1" applyBorder="1"/>
    <xf numFmtId="0" fontId="0" fillId="9" borderId="3" xfId="0" applyFill="1" applyBorder="1"/>
    <xf numFmtId="0" fontId="0" fillId="9" borderId="4" xfId="0" applyFill="1" applyBorder="1"/>
    <xf numFmtId="0" fontId="0" fillId="9" borderId="7" xfId="0" applyFill="1" applyBorder="1"/>
    <xf numFmtId="0" fontId="0" fillId="9" borderId="8" xfId="0" applyFill="1" applyBorder="1"/>
    <xf numFmtId="0" fontId="0" fillId="9" borderId="9" xfId="0" applyFill="1" applyBorder="1"/>
    <xf numFmtId="0" fontId="0" fillId="9" borderId="3" xfId="0" applyFill="1" applyBorder="1" applyAlignment="1">
      <alignment wrapText="1"/>
    </xf>
    <xf numFmtId="0" fontId="9" fillId="2" borderId="1" xfId="0" applyFont="1" applyFill="1" applyBorder="1"/>
    <xf numFmtId="0" fontId="0" fillId="17" borderId="19" xfId="0" applyFill="1" applyBorder="1" applyAlignment="1">
      <alignment wrapText="1"/>
    </xf>
    <xf numFmtId="0" fontId="0" fillId="17" borderId="20" xfId="0" applyFill="1" applyBorder="1" applyAlignment="1">
      <alignment wrapText="1"/>
    </xf>
    <xf numFmtId="0" fontId="1" fillId="17" borderId="18" xfId="0" applyFont="1" applyFill="1" applyBorder="1" applyAlignment="1">
      <alignment wrapText="1"/>
    </xf>
    <xf numFmtId="0" fontId="0" fillId="17" borderId="19" xfId="0" applyFill="1" applyBorder="1"/>
    <xf numFmtId="0" fontId="0" fillId="17" borderId="20" xfId="0" applyFill="1" applyBorder="1"/>
    <xf numFmtId="0" fontId="0" fillId="17" borderId="18" xfId="0" applyFill="1" applyBorder="1"/>
    <xf numFmtId="0" fontId="0" fillId="9" borderId="5" xfId="0" applyFill="1" applyBorder="1"/>
    <xf numFmtId="0" fontId="0" fillId="9" borderId="0" xfId="0" applyFill="1"/>
    <xf numFmtId="0" fontId="12" fillId="2" borderId="0" xfId="3" applyFill="1"/>
    <xf numFmtId="0" fontId="14" fillId="2" borderId="0" xfId="0" applyFont="1" applyFill="1" applyAlignment="1">
      <alignment wrapText="1"/>
    </xf>
    <xf numFmtId="0" fontId="15" fillId="2" borderId="0" xfId="0" applyFont="1" applyFill="1"/>
    <xf numFmtId="0" fontId="0" fillId="2" borderId="14" xfId="0" applyFill="1" applyBorder="1" applyAlignment="1">
      <alignment wrapText="1"/>
    </xf>
    <xf numFmtId="164" fontId="0" fillId="2" borderId="14" xfId="0" applyNumberFormat="1" applyFill="1" applyBorder="1"/>
    <xf numFmtId="167" fontId="0" fillId="2" borderId="0" xfId="0" applyNumberFormat="1" applyFill="1"/>
    <xf numFmtId="0" fontId="1" fillId="8" borderId="6" xfId="0" applyFont="1" applyFill="1" applyBorder="1"/>
    <xf numFmtId="0" fontId="0" fillId="8" borderId="11" xfId="0" applyFill="1" applyBorder="1"/>
    <xf numFmtId="3" fontId="8" fillId="5" borderId="3" xfId="0" applyNumberFormat="1" applyFont="1" applyFill="1" applyBorder="1"/>
    <xf numFmtId="3" fontId="8" fillId="3" borderId="0" xfId="0" applyNumberFormat="1" applyFont="1" applyFill="1"/>
    <xf numFmtId="3" fontId="8" fillId="13" borderId="20" xfId="0" applyNumberFormat="1" applyFont="1" applyFill="1" applyBorder="1" applyAlignment="1">
      <alignment wrapText="1"/>
    </xf>
    <xf numFmtId="3" fontId="0" fillId="8" borderId="5" xfId="0" applyNumberFormat="1" applyFill="1" applyBorder="1"/>
    <xf numFmtId="3" fontId="0" fillId="8" borderId="6" xfId="0" applyNumberFormat="1" applyFill="1" applyBorder="1"/>
    <xf numFmtId="3" fontId="0" fillId="8" borderId="0" xfId="0" applyNumberFormat="1" applyFill="1"/>
    <xf numFmtId="4" fontId="0" fillId="8" borderId="11" xfId="0" applyNumberFormat="1" applyFill="1" applyBorder="1"/>
    <xf numFmtId="4" fontId="0" fillId="2" borderId="0" xfId="0" applyNumberFormat="1" applyFill="1"/>
    <xf numFmtId="3" fontId="1" fillId="8" borderId="5" xfId="0" applyNumberFormat="1" applyFont="1" applyFill="1" applyBorder="1" applyAlignment="1">
      <alignment wrapText="1"/>
    </xf>
    <xf numFmtId="3" fontId="1" fillId="8" borderId="6" xfId="0" applyNumberFormat="1" applyFont="1" applyFill="1" applyBorder="1" applyAlignment="1">
      <alignment wrapText="1"/>
    </xf>
    <xf numFmtId="3" fontId="8" fillId="3" borderId="3" xfId="0" applyNumberFormat="1" applyFont="1" applyFill="1" applyBorder="1"/>
    <xf numFmtId="3" fontId="8" fillId="5" borderId="0" xfId="0" applyNumberFormat="1" applyFont="1" applyFill="1"/>
    <xf numFmtId="3" fontId="8" fillId="13" borderId="3" xfId="0" applyNumberFormat="1" applyFont="1" applyFill="1" applyBorder="1"/>
    <xf numFmtId="3" fontId="8" fillId="13" borderId="8" xfId="0" applyNumberFormat="1" applyFont="1" applyFill="1" applyBorder="1"/>
    <xf numFmtId="3" fontId="0" fillId="2" borderId="1" xfId="0" applyNumberFormat="1" applyFill="1" applyBorder="1"/>
    <xf numFmtId="3" fontId="0" fillId="19" borderId="1" xfId="0" applyNumberFormat="1" applyFill="1" applyBorder="1"/>
    <xf numFmtId="0" fontId="0" fillId="19" borderId="1" xfId="0" applyFill="1" applyBorder="1"/>
    <xf numFmtId="1" fontId="0" fillId="19" borderId="1" xfId="0" applyNumberFormat="1" applyFill="1" applyBorder="1"/>
    <xf numFmtId="0" fontId="0" fillId="9" borderId="11" xfId="0" applyFill="1" applyBorder="1" applyAlignment="1" applyProtection="1">
      <alignment horizontal="left" indent="1"/>
      <protection locked="0"/>
    </xf>
    <xf numFmtId="3" fontId="0" fillId="10" borderId="11" xfId="0" applyNumberFormat="1" applyFill="1" applyBorder="1" applyAlignment="1" applyProtection="1">
      <alignment horizontal="center"/>
      <protection locked="0"/>
    </xf>
    <xf numFmtId="0" fontId="0" fillId="9" borderId="11" xfId="0" applyFill="1" applyBorder="1" applyProtection="1">
      <protection locked="0"/>
    </xf>
    <xf numFmtId="0" fontId="0" fillId="9" borderId="16" xfId="0" applyFill="1" applyBorder="1" applyProtection="1">
      <protection locked="0"/>
    </xf>
    <xf numFmtId="0" fontId="0" fillId="9" borderId="11" xfId="0" applyFill="1" applyBorder="1" applyAlignment="1" applyProtection="1">
      <alignment wrapText="1"/>
      <protection locked="0"/>
    </xf>
    <xf numFmtId="0" fontId="0" fillId="7" borderId="11" xfId="0" applyFill="1" applyBorder="1" applyAlignment="1" applyProtection="1">
      <alignment horizontal="left" indent="1"/>
      <protection locked="0"/>
    </xf>
    <xf numFmtId="3" fontId="0" fillId="4" borderId="11" xfId="0" applyNumberFormat="1" applyFill="1" applyBorder="1" applyAlignment="1" applyProtection="1">
      <alignment horizontal="center"/>
      <protection locked="0"/>
    </xf>
    <xf numFmtId="0" fontId="0" fillId="7" borderId="11" xfId="0" applyFill="1" applyBorder="1" applyProtection="1">
      <protection locked="0"/>
    </xf>
    <xf numFmtId="0" fontId="0" fillId="7" borderId="12" xfId="0" applyFill="1" applyBorder="1" applyProtection="1">
      <protection locked="0"/>
    </xf>
    <xf numFmtId="0" fontId="0" fillId="7" borderId="11" xfId="0" applyFill="1" applyBorder="1" applyAlignment="1" applyProtection="1">
      <alignment wrapText="1"/>
      <protection locked="0"/>
    </xf>
    <xf numFmtId="0" fontId="0" fillId="11" borderId="11" xfId="0" applyFill="1" applyBorder="1" applyAlignment="1" applyProtection="1">
      <alignment horizontal="left" indent="1"/>
      <protection locked="0"/>
    </xf>
    <xf numFmtId="3" fontId="0" fillId="6" borderId="11" xfId="0" applyNumberFormat="1" applyFill="1" applyBorder="1" applyAlignment="1" applyProtection="1">
      <alignment horizontal="center"/>
      <protection locked="0"/>
    </xf>
    <xf numFmtId="0" fontId="0" fillId="11" borderId="11" xfId="0" applyFill="1" applyBorder="1" applyProtection="1">
      <protection locked="0"/>
    </xf>
    <xf numFmtId="0" fontId="0" fillId="11" borderId="11" xfId="0" applyFill="1" applyBorder="1" applyAlignment="1" applyProtection="1">
      <alignment horizontal="center" wrapText="1"/>
      <protection locked="0"/>
    </xf>
    <xf numFmtId="3" fontId="0" fillId="14" borderId="11" xfId="0" applyNumberFormat="1" applyFill="1" applyBorder="1" applyProtection="1">
      <protection locked="0"/>
    </xf>
    <xf numFmtId="0" fontId="0" fillId="3" borderId="2" xfId="0" applyFill="1" applyBorder="1"/>
    <xf numFmtId="0" fontId="0" fillId="3" borderId="5" xfId="0" applyFill="1" applyBorder="1"/>
    <xf numFmtId="0" fontId="0" fillId="3" borderId="7" xfId="0" applyFill="1" applyBorder="1"/>
    <xf numFmtId="2" fontId="0" fillId="8" borderId="11" xfId="0" applyNumberFormat="1" applyFill="1" applyBorder="1"/>
    <xf numFmtId="0" fontId="0" fillId="19" borderId="11" xfId="0" applyFont="1" applyFill="1" applyBorder="1" applyAlignment="1" applyProtection="1">
      <alignment wrapText="1"/>
      <protection locked="0"/>
    </xf>
    <xf numFmtId="0" fontId="17" fillId="2" borderId="0" xfId="0" applyFont="1" applyFill="1"/>
    <xf numFmtId="0" fontId="0" fillId="2" borderId="14" xfId="0" applyFont="1" applyFill="1" applyBorder="1" applyAlignment="1">
      <alignment wrapText="1"/>
    </xf>
    <xf numFmtId="0" fontId="0" fillId="8" borderId="0" xfId="0" applyFill="1" applyBorder="1"/>
    <xf numFmtId="0" fontId="0" fillId="2" borderId="5" xfId="0" applyFill="1" applyBorder="1" applyAlignment="1">
      <alignment horizontal="left"/>
    </xf>
    <xf numFmtId="0" fontId="0" fillId="2" borderId="0" xfId="0" applyFont="1" applyFill="1"/>
    <xf numFmtId="0" fontId="0" fillId="2" borderId="9" xfId="0" applyFill="1" applyBorder="1" applyAlignment="1">
      <alignment wrapText="1"/>
    </xf>
    <xf numFmtId="0" fontId="0" fillId="3" borderId="3" xfId="0" applyFill="1" applyBorder="1"/>
    <xf numFmtId="0" fontId="0" fillId="3" borderId="4" xfId="0" applyFill="1" applyBorder="1"/>
    <xf numFmtId="0" fontId="0" fillId="3" borderId="0" xfId="0" applyFill="1" applyBorder="1"/>
    <xf numFmtId="0" fontId="0" fillId="3" borderId="6" xfId="0" applyFill="1" applyBorder="1"/>
    <xf numFmtId="0" fontId="1" fillId="3" borderId="5" xfId="0" applyFont="1" applyFill="1" applyBorder="1"/>
    <xf numFmtId="0" fontId="0" fillId="3" borderId="8" xfId="0" applyFill="1" applyBorder="1"/>
    <xf numFmtId="0" fontId="0" fillId="3" borderId="9" xfId="0" applyFill="1" applyBorder="1"/>
    <xf numFmtId="0" fontId="0" fillId="3" borderId="5" xfId="0" applyFill="1" applyBorder="1" applyAlignment="1">
      <alignment vertical="center"/>
    </xf>
    <xf numFmtId="0" fontId="0" fillId="2" borderId="1" xfId="0" applyFill="1" applyBorder="1" applyAlignment="1">
      <alignment wrapText="1"/>
    </xf>
    <xf numFmtId="2" fontId="0" fillId="2" borderId="1" xfId="0" applyNumberFormat="1" applyFill="1" applyBorder="1"/>
    <xf numFmtId="0" fontId="1" fillId="2" borderId="1" xfId="0" applyFont="1" applyFill="1" applyBorder="1"/>
    <xf numFmtId="0" fontId="1" fillId="2" borderId="1" xfId="0" applyFont="1" applyFill="1" applyBorder="1" applyAlignment="1">
      <alignment wrapText="1"/>
    </xf>
    <xf numFmtId="165" fontId="0" fillId="2" borderId="1" xfId="0" applyNumberFormat="1" applyFill="1" applyBorder="1"/>
    <xf numFmtId="0" fontId="0" fillId="3" borderId="1" xfId="0" applyFill="1" applyBorder="1"/>
    <xf numFmtId="2" fontId="0" fillId="3" borderId="1" xfId="0" applyNumberFormat="1" applyFill="1" applyBorder="1"/>
    <xf numFmtId="1" fontId="0" fillId="3" borderId="1" xfId="0" applyNumberFormat="1" applyFill="1" applyBorder="1"/>
    <xf numFmtId="0" fontId="16" fillId="20" borderId="1" xfId="0" applyFont="1" applyFill="1" applyBorder="1"/>
    <xf numFmtId="0" fontId="1" fillId="3" borderId="1" xfId="0" applyFont="1" applyFill="1" applyBorder="1" applyAlignment="1">
      <alignment wrapText="1"/>
    </xf>
    <xf numFmtId="0" fontId="1" fillId="3" borderId="1" xfId="0" applyFont="1" applyFill="1" applyBorder="1"/>
    <xf numFmtId="3" fontId="16" fillId="20" borderId="1" xfId="0" applyNumberFormat="1" applyFont="1" applyFill="1" applyBorder="1"/>
    <xf numFmtId="0" fontId="16" fillId="20" borderId="19" xfId="0" applyFont="1" applyFill="1" applyBorder="1"/>
    <xf numFmtId="0" fontId="16" fillId="20" borderId="20" xfId="0" applyFont="1" applyFill="1" applyBorder="1"/>
    <xf numFmtId="1" fontId="8" fillId="5" borderId="2" xfId="0" applyNumberFormat="1" applyFont="1" applyFill="1" applyBorder="1" applyAlignment="1">
      <alignment horizontal="center"/>
    </xf>
    <xf numFmtId="1" fontId="8" fillId="3" borderId="5" xfId="0" applyNumberFormat="1" applyFont="1" applyFill="1" applyBorder="1" applyAlignment="1">
      <alignment horizontal="center"/>
    </xf>
    <xf numFmtId="1" fontId="8" fillId="5" borderId="5" xfId="0" applyNumberFormat="1" applyFont="1" applyFill="1" applyBorder="1" applyAlignment="1">
      <alignment horizontal="center"/>
    </xf>
    <xf numFmtId="1" fontId="8" fillId="3" borderId="5" xfId="0" applyNumberFormat="1" applyFont="1" applyFill="1" applyBorder="1" applyAlignment="1">
      <alignment horizontal="center" wrapText="1"/>
    </xf>
    <xf numFmtId="1" fontId="8" fillId="13" borderId="2" xfId="0" applyNumberFormat="1" applyFont="1" applyFill="1" applyBorder="1" applyAlignment="1">
      <alignment horizontal="center"/>
    </xf>
    <xf numFmtId="1" fontId="8" fillId="13" borderId="7" xfId="0" applyNumberFormat="1" applyFont="1" applyFill="1" applyBorder="1" applyAlignment="1">
      <alignment horizontal="center"/>
    </xf>
    <xf numFmtId="1" fontId="8" fillId="3" borderId="2" xfId="0" applyNumberFormat="1" applyFont="1" applyFill="1" applyBorder="1" applyAlignment="1">
      <alignment horizontal="center" wrapText="1"/>
    </xf>
    <xf numFmtId="1" fontId="8" fillId="5" borderId="7" xfId="0" applyNumberFormat="1" applyFont="1" applyFill="1" applyBorder="1" applyAlignment="1">
      <alignment horizontal="center" wrapText="1"/>
    </xf>
    <xf numFmtId="3" fontId="8" fillId="5" borderId="8" xfId="0" applyNumberFormat="1" applyFont="1" applyFill="1" applyBorder="1"/>
    <xf numFmtId="1" fontId="8" fillId="5" borderId="9" xfId="0" applyNumberFormat="1" applyFont="1" applyFill="1" applyBorder="1"/>
    <xf numFmtId="0" fontId="11" fillId="2" borderId="0" xfId="0" applyFont="1" applyFill="1"/>
    <xf numFmtId="0" fontId="13" fillId="18" borderId="0" xfId="3" applyFont="1" applyFill="1"/>
    <xf numFmtId="0" fontId="18" fillId="18" borderId="0" xfId="3" applyFont="1" applyFill="1"/>
    <xf numFmtId="0" fontId="9" fillId="18" borderId="0" xfId="0" applyFont="1" applyFill="1"/>
    <xf numFmtId="0" fontId="0" fillId="18" borderId="0" xfId="0" applyFill="1" applyAlignment="1">
      <alignment horizontal="center"/>
    </xf>
    <xf numFmtId="0" fontId="0" fillId="9" borderId="1" xfId="0" applyFill="1" applyBorder="1" applyAlignment="1">
      <alignment horizontal="center"/>
    </xf>
    <xf numFmtId="0" fontId="0" fillId="7" borderId="1" xfId="0" applyFill="1" applyBorder="1" applyAlignment="1">
      <alignment horizontal="center"/>
    </xf>
    <xf numFmtId="2" fontId="0" fillId="2" borderId="1" xfId="0" applyNumberFormat="1" applyFill="1" applyBorder="1" applyAlignment="1">
      <alignment horizontal="center"/>
    </xf>
    <xf numFmtId="0" fontId="0" fillId="10" borderId="1" xfId="0" applyFill="1" applyBorder="1" applyAlignment="1">
      <alignment horizontal="center"/>
    </xf>
    <xf numFmtId="0" fontId="0" fillId="4" borderId="1" xfId="0" applyFill="1" applyBorder="1" applyAlignment="1">
      <alignment horizontal="center"/>
    </xf>
    <xf numFmtId="164" fontId="0" fillId="3" borderId="1" xfId="0" applyNumberFormat="1" applyFill="1" applyBorder="1"/>
    <xf numFmtId="0" fontId="20" fillId="2" borderId="0" xfId="0" applyFont="1" applyFill="1" applyAlignment="1">
      <alignment wrapText="1"/>
    </xf>
    <xf numFmtId="0" fontId="20" fillId="2" borderId="0" xfId="0" applyFont="1" applyFill="1" applyAlignment="1"/>
    <xf numFmtId="0" fontId="0" fillId="2" borderId="5" xfId="0" applyFont="1" applyFill="1" applyBorder="1"/>
    <xf numFmtId="0" fontId="0" fillId="2" borderId="5" xfId="0" applyFont="1" applyFill="1" applyBorder="1" applyAlignment="1">
      <alignment wrapText="1"/>
    </xf>
    <xf numFmtId="0" fontId="1" fillId="8" borderId="0" xfId="0" applyFont="1" applyFill="1" applyAlignment="1">
      <alignment wrapText="1"/>
    </xf>
    <xf numFmtId="164" fontId="0" fillId="2" borderId="13" xfId="0" applyNumberFormat="1" applyFill="1" applyBorder="1"/>
    <xf numFmtId="164" fontId="0" fillId="2" borderId="15" xfId="0" applyNumberFormat="1" applyFill="1" applyBorder="1"/>
    <xf numFmtId="3" fontId="0" fillId="8" borderId="5" xfId="0" applyNumberFormat="1" applyFont="1" applyFill="1" applyBorder="1" applyAlignment="1">
      <alignment wrapText="1"/>
    </xf>
    <xf numFmtId="0" fontId="0" fillId="2" borderId="0" xfId="0" applyFill="1" applyProtection="1">
      <protection locked="0"/>
    </xf>
    <xf numFmtId="0" fontId="0" fillId="7" borderId="5" xfId="0" applyFill="1" applyBorder="1" applyProtection="1">
      <protection locked="0"/>
    </xf>
    <xf numFmtId="0" fontId="0" fillId="7" borderId="14" xfId="0" applyFill="1" applyBorder="1" applyProtection="1">
      <protection locked="0"/>
    </xf>
    <xf numFmtId="0" fontId="0" fillId="7" borderId="0" xfId="0" applyFill="1" applyProtection="1">
      <protection locked="0"/>
    </xf>
    <xf numFmtId="0" fontId="0" fillId="7" borderId="14" xfId="0" applyFill="1" applyBorder="1" applyAlignment="1" applyProtection="1">
      <alignment wrapText="1"/>
      <protection locked="0"/>
    </xf>
    <xf numFmtId="0" fontId="0" fillId="7" borderId="6" xfId="0" applyFill="1" applyBorder="1" applyProtection="1">
      <protection locked="0"/>
    </xf>
    <xf numFmtId="0" fontId="4" fillId="7" borderId="5" xfId="0" applyFont="1" applyFill="1" applyBorder="1" applyProtection="1">
      <protection locked="0"/>
    </xf>
    <xf numFmtId="2" fontId="0" fillId="7" borderId="14" xfId="0" applyNumberFormat="1" applyFill="1" applyBorder="1" applyProtection="1">
      <protection locked="0"/>
    </xf>
    <xf numFmtId="0" fontId="7" fillId="7" borderId="6" xfId="0" applyFont="1" applyFill="1" applyBorder="1" applyProtection="1">
      <protection locked="0"/>
    </xf>
    <xf numFmtId="0" fontId="0" fillId="7" borderId="7" xfId="0" applyFill="1" applyBorder="1" applyProtection="1">
      <protection locked="0"/>
    </xf>
    <xf numFmtId="0" fontId="0" fillId="7" borderId="15" xfId="0" applyFill="1" applyBorder="1" applyProtection="1">
      <protection locked="0"/>
    </xf>
    <xf numFmtId="0" fontId="0" fillId="7" borderId="8" xfId="0" applyFill="1" applyBorder="1" applyProtection="1">
      <protection locked="0"/>
    </xf>
    <xf numFmtId="0" fontId="0" fillId="7" borderId="15" xfId="0" applyFill="1" applyBorder="1" applyAlignment="1" applyProtection="1">
      <alignment wrapText="1"/>
      <protection locked="0"/>
    </xf>
    <xf numFmtId="0" fontId="0" fillId="7" borderId="9" xfId="0" applyFill="1" applyBorder="1" applyProtection="1">
      <protection locked="0"/>
    </xf>
    <xf numFmtId="0" fontId="7" fillId="7" borderId="5" xfId="0" applyFont="1" applyFill="1" applyBorder="1" applyProtection="1">
      <protection locked="0"/>
    </xf>
    <xf numFmtId="164" fontId="0" fillId="7" borderId="14" xfId="0" applyNumberFormat="1" applyFill="1" applyBorder="1" applyProtection="1">
      <protection locked="0"/>
    </xf>
    <xf numFmtId="2" fontId="0" fillId="7" borderId="15" xfId="0" applyNumberFormat="1" applyFill="1" applyBorder="1" applyProtection="1">
      <protection locked="0"/>
    </xf>
    <xf numFmtId="164" fontId="0" fillId="7" borderId="1" xfId="0" applyNumberFormat="1" applyFill="1" applyBorder="1" applyProtection="1">
      <protection locked="0"/>
    </xf>
    <xf numFmtId="0" fontId="0" fillId="7" borderId="1" xfId="0" applyFill="1" applyBorder="1" applyProtection="1">
      <protection locked="0"/>
    </xf>
    <xf numFmtId="2" fontId="0" fillId="7" borderId="1" xfId="0" applyNumberFormat="1" applyFill="1" applyBorder="1" applyProtection="1">
      <protection locked="0"/>
    </xf>
    <xf numFmtId="0" fontId="9" fillId="7" borderId="1" xfId="0" applyFont="1" applyFill="1" applyBorder="1" applyProtection="1">
      <protection locked="0"/>
    </xf>
    <xf numFmtId="0" fontId="7" fillId="2" borderId="1" xfId="0" applyFont="1" applyFill="1" applyBorder="1" applyAlignment="1">
      <alignment wrapText="1"/>
    </xf>
    <xf numFmtId="0" fontId="7" fillId="2" borderId="1" xfId="0" applyFont="1" applyFill="1" applyBorder="1"/>
    <xf numFmtId="2" fontId="0" fillId="3" borderId="1" xfId="0" applyNumberFormat="1" applyFill="1" applyBorder="1" applyProtection="1">
      <protection locked="0"/>
    </xf>
    <xf numFmtId="0" fontId="0" fillId="3" borderId="24" xfId="0" applyFill="1" applyBorder="1"/>
    <xf numFmtId="0" fontId="0" fillId="3" borderId="25" xfId="0" applyFill="1" applyBorder="1"/>
    <xf numFmtId="0" fontId="0" fillId="3" borderId="23" xfId="0" applyFont="1" applyFill="1" applyBorder="1"/>
    <xf numFmtId="0" fontId="0" fillId="3" borderId="26" xfId="0" applyFill="1" applyBorder="1"/>
    <xf numFmtId="0" fontId="0" fillId="3" borderId="27" xfId="0" applyFill="1" applyBorder="1"/>
    <xf numFmtId="0" fontId="0" fillId="3" borderId="28" xfId="0" applyFill="1" applyBorder="1"/>
    <xf numFmtId="0" fontId="0" fillId="3" borderId="29" xfId="0" applyFill="1" applyBorder="1"/>
    <xf numFmtId="0" fontId="0" fillId="3" borderId="30" xfId="0" applyFill="1" applyBorder="1"/>
    <xf numFmtId="0" fontId="23" fillId="20" borderId="1" xfId="0" applyFont="1" applyFill="1" applyBorder="1"/>
    <xf numFmtId="0" fontId="23" fillId="20" borderId="1" xfId="0" applyFont="1" applyFill="1" applyBorder="1" applyAlignment="1">
      <alignment wrapText="1"/>
    </xf>
    <xf numFmtId="0" fontId="23" fillId="20" borderId="19" xfId="0" applyFont="1" applyFill="1" applyBorder="1"/>
    <xf numFmtId="0" fontId="23" fillId="20" borderId="20" xfId="0" applyFont="1" applyFill="1" applyBorder="1"/>
    <xf numFmtId="0" fontId="1" fillId="2" borderId="20" xfId="0" applyFont="1" applyFill="1" applyBorder="1"/>
    <xf numFmtId="0" fontId="1" fillId="3" borderId="23" xfId="0" applyFont="1" applyFill="1" applyBorder="1"/>
    <xf numFmtId="0" fontId="1" fillId="3" borderId="24" xfId="0" applyFont="1" applyFill="1" applyBorder="1"/>
    <xf numFmtId="0" fontId="1" fillId="3" borderId="25" xfId="0" applyFont="1" applyFill="1" applyBorder="1"/>
    <xf numFmtId="0" fontId="7" fillId="2" borderId="5" xfId="0" applyFont="1" applyFill="1" applyBorder="1" applyAlignment="1">
      <alignment vertical="top" wrapText="1"/>
    </xf>
    <xf numFmtId="0" fontId="16" fillId="21" borderId="1" xfId="0" applyFont="1" applyFill="1" applyBorder="1" applyProtection="1">
      <protection locked="0"/>
    </xf>
    <xf numFmtId="3" fontId="16" fillId="21" borderId="1" xfId="0" applyNumberFormat="1" applyFont="1" applyFill="1" applyBorder="1" applyProtection="1">
      <protection locked="0"/>
    </xf>
    <xf numFmtId="0" fontId="16" fillId="21" borderId="19" xfId="0" applyFont="1" applyFill="1" applyBorder="1" applyProtection="1">
      <protection locked="0"/>
    </xf>
    <xf numFmtId="0" fontId="16" fillId="21" borderId="20" xfId="0" applyFont="1" applyFill="1" applyBorder="1" applyProtection="1">
      <protection locked="0"/>
    </xf>
    <xf numFmtId="0" fontId="0" fillId="7" borderId="20" xfId="0" applyFill="1" applyBorder="1" applyProtection="1">
      <protection locked="0"/>
    </xf>
    <xf numFmtId="0" fontId="16" fillId="21" borderId="7" xfId="0" applyFont="1" applyFill="1" applyBorder="1" applyProtection="1">
      <protection locked="0"/>
    </xf>
    <xf numFmtId="0" fontId="16" fillId="21" borderId="8" xfId="0" applyFont="1" applyFill="1" applyBorder="1" applyProtection="1">
      <protection locked="0"/>
    </xf>
    <xf numFmtId="0" fontId="0" fillId="7" borderId="19" xfId="0" applyFill="1" applyBorder="1" applyProtection="1">
      <protection locked="0"/>
    </xf>
    <xf numFmtId="168" fontId="0" fillId="10" borderId="11" xfId="0" applyNumberFormat="1" applyFill="1" applyBorder="1" applyAlignment="1" applyProtection="1">
      <alignment horizontal="center"/>
      <protection locked="0"/>
    </xf>
    <xf numFmtId="168" fontId="0" fillId="4" borderId="11" xfId="0" applyNumberFormat="1" applyFill="1" applyBorder="1" applyAlignment="1" applyProtection="1">
      <alignment horizontal="center"/>
      <protection locked="0"/>
    </xf>
    <xf numFmtId="168" fontId="0" fillId="4" borderId="12" xfId="0" applyNumberFormat="1" applyFill="1" applyBorder="1" applyAlignment="1" applyProtection="1">
      <alignment horizontal="center"/>
      <protection locked="0"/>
    </xf>
    <xf numFmtId="0" fontId="7" fillId="2" borderId="5" xfId="0" applyFont="1" applyFill="1" applyBorder="1" applyProtection="1"/>
    <xf numFmtId="2" fontId="7" fillId="2" borderId="14" xfId="0" applyNumberFormat="1" applyFont="1" applyFill="1" applyBorder="1" applyProtection="1"/>
    <xf numFmtId="0" fontId="7" fillId="2" borderId="0" xfId="0" applyFont="1" applyFill="1" applyProtection="1"/>
    <xf numFmtId="0" fontId="7" fillId="2" borderId="14" xfId="0" applyFont="1" applyFill="1" applyBorder="1" applyAlignment="1" applyProtection="1">
      <alignment wrapText="1"/>
    </xf>
    <xf numFmtId="3" fontId="0" fillId="12" borderId="11" xfId="0" applyNumberFormat="1" applyFill="1" applyBorder="1" applyProtection="1">
      <protection locked="0"/>
    </xf>
    <xf numFmtId="0" fontId="0" fillId="3" borderId="1" xfId="0" applyFill="1" applyBorder="1" applyAlignment="1">
      <alignment wrapText="1"/>
    </xf>
    <xf numFmtId="0" fontId="0" fillId="3" borderId="13" xfId="0" applyFill="1" applyBorder="1"/>
    <xf numFmtId="1" fontId="0" fillId="3" borderId="13" xfId="0" applyNumberFormat="1" applyFill="1" applyBorder="1"/>
    <xf numFmtId="0" fontId="0" fillId="3" borderId="15" xfId="0" applyFill="1" applyBorder="1"/>
    <xf numFmtId="2" fontId="0" fillId="3" borderId="15" xfId="0" applyNumberFormat="1" applyFill="1" applyBorder="1"/>
    <xf numFmtId="1" fontId="0" fillId="3" borderId="15" xfId="0" applyNumberFormat="1" applyFill="1" applyBorder="1"/>
    <xf numFmtId="1" fontId="0" fillId="3" borderId="0" xfId="0" applyNumberFormat="1" applyFill="1" applyBorder="1"/>
    <xf numFmtId="1" fontId="0" fillId="3" borderId="3" xfId="0" applyNumberFormat="1" applyFill="1" applyBorder="1"/>
    <xf numFmtId="2" fontId="0" fillId="3" borderId="8" xfId="0" applyNumberFormat="1" applyFill="1" applyBorder="1"/>
    <xf numFmtId="1" fontId="0" fillId="3" borderId="8" xfId="0" applyNumberFormat="1" applyFill="1" applyBorder="1"/>
    <xf numFmtId="2" fontId="0" fillId="3" borderId="0" xfId="0" applyNumberFormat="1" applyFill="1" applyBorder="1" applyProtection="1">
      <protection locked="0"/>
    </xf>
    <xf numFmtId="2" fontId="0" fillId="3" borderId="3" xfId="0" applyNumberFormat="1" applyFill="1" applyBorder="1" applyProtection="1">
      <protection locked="0"/>
    </xf>
    <xf numFmtId="2" fontId="0" fillId="3" borderId="8" xfId="0" applyNumberFormat="1" applyFill="1" applyBorder="1" applyProtection="1">
      <protection locked="0"/>
    </xf>
    <xf numFmtId="1" fontId="0" fillId="7" borderId="14" xfId="0" applyNumberFormat="1" applyFill="1" applyBorder="1" applyProtection="1">
      <protection locked="0"/>
    </xf>
    <xf numFmtId="0" fontId="4" fillId="7" borderId="6" xfId="0" applyFont="1" applyFill="1" applyBorder="1" applyAlignment="1" applyProtection="1">
      <alignment wrapText="1"/>
      <protection locked="0"/>
    </xf>
    <xf numFmtId="0" fontId="4" fillId="2" borderId="0" xfId="0" applyFont="1" applyFill="1" applyAlignment="1"/>
    <xf numFmtId="0" fontId="4" fillId="2" borderId="0" xfId="0" applyFont="1" applyFill="1" applyAlignment="1">
      <alignment wrapText="1"/>
    </xf>
    <xf numFmtId="0" fontId="0" fillId="9" borderId="6" xfId="0" applyFill="1" applyBorder="1"/>
    <xf numFmtId="0" fontId="0" fillId="2" borderId="0" xfId="0" applyFill="1" applyBorder="1"/>
    <xf numFmtId="0" fontId="0" fillId="2" borderId="13" xfId="0" applyFill="1" applyBorder="1" applyAlignment="1">
      <alignment wrapText="1"/>
    </xf>
    <xf numFmtId="0" fontId="0" fillId="2" borderId="13" xfId="0" applyFill="1" applyBorder="1" applyAlignment="1"/>
    <xf numFmtId="0" fontId="0" fillId="2" borderId="14" xfId="0" applyFill="1" applyBorder="1" applyAlignment="1"/>
    <xf numFmtId="0" fontId="0" fillId="2" borderId="15" xfId="0" applyFill="1" applyBorder="1" applyAlignment="1"/>
    <xf numFmtId="0" fontId="0" fillId="2" borderId="0" xfId="0" applyFill="1" applyAlignment="1">
      <alignment vertical="center"/>
    </xf>
    <xf numFmtId="0" fontId="0" fillId="15" borderId="0" xfId="0" applyFill="1"/>
    <xf numFmtId="0" fontId="1" fillId="15" borderId="0" xfId="0" applyFont="1" applyFill="1"/>
    <xf numFmtId="2" fontId="1" fillId="12" borderId="8" xfId="0" applyNumberFormat="1" applyFont="1" applyFill="1" applyBorder="1"/>
    <xf numFmtId="2" fontId="1" fillId="12" borderId="7" xfId="0" applyNumberFormat="1" applyFont="1" applyFill="1" applyBorder="1"/>
    <xf numFmtId="2" fontId="0" fillId="2" borderId="0" xfId="0" applyNumberFormat="1" applyFill="1" applyBorder="1"/>
    <xf numFmtId="165" fontId="0" fillId="2" borderId="0" xfId="0" applyNumberFormat="1" applyFill="1" applyBorder="1"/>
    <xf numFmtId="0" fontId="0" fillId="2" borderId="5" xfId="0" quotePrefix="1" applyFill="1" applyBorder="1"/>
    <xf numFmtId="0" fontId="1" fillId="12" borderId="7" xfId="0" applyFont="1" applyFill="1" applyBorder="1"/>
    <xf numFmtId="2" fontId="1" fillId="2" borderId="8" xfId="0" applyNumberFormat="1" applyFont="1" applyFill="1" applyBorder="1"/>
    <xf numFmtId="0" fontId="1" fillId="2" borderId="0" xfId="0" applyFont="1" applyFill="1" applyBorder="1"/>
    <xf numFmtId="3" fontId="0" fillId="2" borderId="0" xfId="0" applyNumberFormat="1" applyFill="1" applyBorder="1"/>
    <xf numFmtId="0" fontId="0" fillId="3" borderId="5" xfId="0" applyFill="1" applyBorder="1" applyAlignment="1">
      <alignment horizontal="left" wrapText="1"/>
    </xf>
    <xf numFmtId="0" fontId="0" fillId="3" borderId="0" xfId="0" applyFill="1" applyBorder="1" applyAlignment="1">
      <alignment horizontal="left" wrapText="1"/>
    </xf>
    <xf numFmtId="0" fontId="0" fillId="3" borderId="6" xfId="0" applyFill="1" applyBorder="1" applyAlignment="1">
      <alignment horizontal="left" wrapText="1"/>
    </xf>
    <xf numFmtId="0" fontId="0" fillId="3" borderId="5" xfId="0" applyFill="1" applyBorder="1" applyAlignment="1">
      <alignment horizontal="left" vertical="top" wrapText="1"/>
    </xf>
    <xf numFmtId="0" fontId="0" fillId="3" borderId="0" xfId="0" applyFill="1" applyBorder="1" applyAlignment="1">
      <alignment horizontal="left" vertical="top" wrapText="1"/>
    </xf>
    <xf numFmtId="0" fontId="0" fillId="3" borderId="6" xfId="0" applyFill="1" applyBorder="1" applyAlignment="1">
      <alignment horizontal="left" vertical="top" wrapText="1"/>
    </xf>
    <xf numFmtId="0" fontId="24" fillId="2" borderId="0" xfId="0" applyFont="1" applyFill="1" applyAlignment="1">
      <alignment horizontal="center" wrapText="1"/>
    </xf>
    <xf numFmtId="0" fontId="19" fillId="2" borderId="0" xfId="0" applyFont="1" applyFill="1" applyAlignment="1">
      <alignment horizontal="center" wrapText="1"/>
    </xf>
    <xf numFmtId="0" fontId="20" fillId="2" borderId="0" xfId="0" applyFont="1" applyFill="1" applyAlignment="1">
      <alignment horizontal="center" wrapText="1"/>
    </xf>
    <xf numFmtId="0" fontId="0" fillId="6" borderId="21" xfId="0" applyFill="1" applyBorder="1" applyAlignment="1" applyProtection="1">
      <alignment horizontal="center"/>
      <protection locked="0"/>
    </xf>
    <xf numFmtId="0" fontId="0" fillId="6" borderId="22" xfId="0" applyFill="1" applyBorder="1" applyAlignment="1" applyProtection="1">
      <alignment horizontal="center"/>
      <protection locked="0"/>
    </xf>
    <xf numFmtId="1" fontId="8" fillId="3" borderId="2" xfId="0" applyNumberFormat="1" applyFont="1" applyFill="1" applyBorder="1" applyAlignment="1">
      <alignment horizontal="center" vertical="center" wrapText="1"/>
    </xf>
    <xf numFmtId="1" fontId="8" fillId="3" borderId="4" xfId="0" applyNumberFormat="1" applyFont="1" applyFill="1" applyBorder="1" applyAlignment="1">
      <alignment horizontal="center" vertical="center" wrapText="1"/>
    </xf>
    <xf numFmtId="1" fontId="8" fillId="3" borderId="5" xfId="0" applyNumberFormat="1" applyFont="1" applyFill="1" applyBorder="1" applyAlignment="1">
      <alignment horizontal="center" vertical="center" wrapText="1"/>
    </xf>
    <xf numFmtId="1" fontId="8" fillId="3" borderId="6" xfId="0" applyNumberFormat="1" applyFont="1" applyFill="1" applyBorder="1" applyAlignment="1">
      <alignment horizontal="center" vertical="center" wrapText="1"/>
    </xf>
    <xf numFmtId="1" fontId="8" fillId="3" borderId="7" xfId="0" applyNumberFormat="1" applyFont="1" applyFill="1" applyBorder="1" applyAlignment="1">
      <alignment horizontal="center" vertical="center" wrapText="1"/>
    </xf>
    <xf numFmtId="1" fontId="8" fillId="3" borderId="9" xfId="0" applyNumberFormat="1" applyFont="1" applyFill="1" applyBorder="1" applyAlignment="1">
      <alignment horizontal="center" vertical="center" wrapText="1"/>
    </xf>
    <xf numFmtId="0" fontId="8" fillId="5" borderId="2" xfId="0" applyFont="1" applyFill="1" applyBorder="1" applyAlignment="1">
      <alignment horizontal="center" wrapText="1"/>
    </xf>
    <xf numFmtId="0" fontId="8" fillId="5" borderId="3" xfId="0" applyFont="1" applyFill="1" applyBorder="1" applyAlignment="1">
      <alignment horizontal="center" wrapText="1"/>
    </xf>
    <xf numFmtId="0" fontId="8" fillId="3" borderId="7" xfId="0" applyFont="1" applyFill="1" applyBorder="1" applyAlignment="1">
      <alignment horizontal="center" wrapText="1"/>
    </xf>
    <xf numFmtId="0" fontId="8" fillId="3" borderId="8" xfId="0" applyFont="1" applyFill="1" applyBorder="1" applyAlignment="1">
      <alignment horizontal="center" wrapText="1"/>
    </xf>
    <xf numFmtId="0" fontId="8" fillId="13" borderId="19" xfId="0" applyFont="1" applyFill="1" applyBorder="1" applyAlignment="1">
      <alignment horizontal="center" wrapText="1"/>
    </xf>
    <xf numFmtId="0" fontId="8" fillId="13" borderId="20" xfId="0" applyFont="1" applyFill="1" applyBorder="1" applyAlignment="1">
      <alignment horizontal="center" wrapText="1"/>
    </xf>
    <xf numFmtId="0" fontId="0" fillId="2" borderId="3" xfId="0" applyFill="1" applyBorder="1" applyAlignment="1">
      <alignment horizontal="left" wrapText="1"/>
    </xf>
    <xf numFmtId="0" fontId="0" fillId="6" borderId="6" xfId="0" applyFill="1" applyBorder="1" applyAlignment="1">
      <alignment horizontal="center" vertical="center" textRotation="90"/>
    </xf>
    <xf numFmtId="0" fontId="0" fillId="5" borderId="6" xfId="0" applyFill="1" applyBorder="1" applyAlignment="1">
      <alignment horizontal="center" vertical="center" textRotation="90"/>
    </xf>
    <xf numFmtId="0" fontId="21" fillId="2" borderId="8" xfId="0" applyFont="1" applyFill="1" applyBorder="1" applyAlignment="1">
      <alignment horizontal="center" wrapText="1"/>
    </xf>
    <xf numFmtId="0" fontId="0" fillId="2" borderId="0" xfId="0" applyFill="1" applyBorder="1" applyAlignment="1">
      <alignment horizontal="center" wrapText="1"/>
    </xf>
    <xf numFmtId="0" fontId="0" fillId="2" borderId="6" xfId="0" applyFill="1" applyBorder="1" applyAlignment="1">
      <alignment horizontal="center" wrapText="1"/>
    </xf>
    <xf numFmtId="0" fontId="0" fillId="2" borderId="8" xfId="0" applyFill="1" applyBorder="1" applyAlignment="1">
      <alignment horizontal="center" wrapText="1"/>
    </xf>
    <xf numFmtId="0" fontId="0" fillId="2" borderId="9" xfId="0" applyFill="1" applyBorder="1" applyAlignment="1">
      <alignment horizontal="center" wrapText="1"/>
    </xf>
    <xf numFmtId="0" fontId="0" fillId="2" borderId="0" xfId="0" applyFill="1" applyAlignment="1">
      <alignment horizontal="left" wrapText="1"/>
    </xf>
    <xf numFmtId="0" fontId="0" fillId="2" borderId="14" xfId="0" quotePrefix="1" applyFill="1" applyBorder="1"/>
    <xf numFmtId="164" fontId="0" fillId="2" borderId="5" xfId="0" applyNumberFormat="1" applyFill="1" applyBorder="1"/>
  </cellXfs>
  <cellStyles count="4">
    <cellStyle name="Heading 1" xfId="1" builtinId="16"/>
    <cellStyle name="Heading 4" xfId="3" builtinId="19"/>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fi-FI" b="1"/>
              <a:t>Skenaario 1</a:t>
            </a:r>
          </a:p>
          <a:p>
            <a:pPr>
              <a:defRPr b="1"/>
            </a:pPr>
            <a:r>
              <a:rPr lang="fi-FI" b="0"/>
              <a:t>tCO2e</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barChart>
        <c:barDir val="col"/>
        <c:grouping val="clustered"/>
        <c:varyColors val="0"/>
        <c:ser>
          <c:idx val="0"/>
          <c:order val="0"/>
          <c:tx>
            <c:strRef>
              <c:f>Tulokset!$C$8</c:f>
              <c:strCache>
                <c:ptCount val="1"/>
                <c:pt idx="0">
                  <c:v>Materiaalit</c:v>
                </c:pt>
              </c:strCache>
            </c:strRef>
          </c:tx>
          <c:spPr>
            <a:solidFill>
              <a:schemeClr val="accent1"/>
            </a:solidFill>
            <a:ln>
              <a:noFill/>
            </a:ln>
            <a:effectLst/>
          </c:spPr>
          <c:invertIfNegative val="0"/>
          <c:cat>
            <c:strRef>
              <c:extLst>
                <c:ext xmlns:c15="http://schemas.microsoft.com/office/drawing/2012/chart" uri="{02D57815-91ED-43cb-92C2-25804820EDAC}">
                  <c15:fullRef>
                    <c15:sqref>Tulokset!$D$6:$E$6</c15:sqref>
                  </c15:fullRef>
                </c:ext>
              </c:extLst>
              <c:f>Tulokset!$D$6</c:f>
              <c:strCache>
                <c:ptCount val="1"/>
                <c:pt idx="0">
                  <c:v>tCO2e</c:v>
                </c:pt>
              </c:strCache>
            </c:strRef>
          </c:cat>
          <c:val>
            <c:numRef>
              <c:extLst>
                <c:ext xmlns:c15="http://schemas.microsoft.com/office/drawing/2012/chart" uri="{02D57815-91ED-43cb-92C2-25804820EDAC}">
                  <c15:fullRef>
                    <c15:sqref>Tulokset!$D$8:$E$8</c15:sqref>
                  </c15:fullRef>
                </c:ext>
              </c:extLst>
              <c:f>Tulokset!$D$8</c:f>
              <c:numCache>
                <c:formatCode>#,##0</c:formatCode>
                <c:ptCount val="1"/>
                <c:pt idx="0">
                  <c:v>0</c:v>
                </c:pt>
              </c:numCache>
            </c:numRef>
          </c:val>
          <c:extLst>
            <c:ext xmlns:c16="http://schemas.microsoft.com/office/drawing/2014/chart" uri="{C3380CC4-5D6E-409C-BE32-E72D297353CC}">
              <c16:uniqueId val="{00000000-28D3-42FF-A8A9-DCD55B32AD2A}"/>
            </c:ext>
          </c:extLst>
        </c:ser>
        <c:ser>
          <c:idx val="1"/>
          <c:order val="1"/>
          <c:tx>
            <c:strRef>
              <c:f>Tulokset!$C$9</c:f>
              <c:strCache>
                <c:ptCount val="1"/>
                <c:pt idx="0">
                  <c:v>Kuljetukset</c:v>
                </c:pt>
              </c:strCache>
            </c:strRef>
          </c:tx>
          <c:spPr>
            <a:solidFill>
              <a:schemeClr val="accent2"/>
            </a:solidFill>
            <a:ln>
              <a:noFill/>
            </a:ln>
            <a:effectLst/>
          </c:spPr>
          <c:invertIfNegative val="0"/>
          <c:cat>
            <c:strRef>
              <c:extLst>
                <c:ext xmlns:c15="http://schemas.microsoft.com/office/drawing/2012/chart" uri="{02D57815-91ED-43cb-92C2-25804820EDAC}">
                  <c15:fullRef>
                    <c15:sqref>Tulokset!$D$6:$E$6</c15:sqref>
                  </c15:fullRef>
                </c:ext>
              </c:extLst>
              <c:f>Tulokset!$D$6</c:f>
              <c:strCache>
                <c:ptCount val="1"/>
                <c:pt idx="0">
                  <c:v>tCO2e</c:v>
                </c:pt>
              </c:strCache>
            </c:strRef>
          </c:cat>
          <c:val>
            <c:numRef>
              <c:extLst>
                <c:ext xmlns:c15="http://schemas.microsoft.com/office/drawing/2012/chart" uri="{02D57815-91ED-43cb-92C2-25804820EDAC}">
                  <c15:fullRef>
                    <c15:sqref>Tulokset!$D$9:$E$9</c15:sqref>
                  </c15:fullRef>
                </c:ext>
              </c:extLst>
              <c:f>Tulokset!$D$9</c:f>
              <c:numCache>
                <c:formatCode>#,##0</c:formatCode>
                <c:ptCount val="1"/>
                <c:pt idx="0">
                  <c:v>0</c:v>
                </c:pt>
              </c:numCache>
            </c:numRef>
          </c:val>
          <c:extLst>
            <c:ext xmlns:c16="http://schemas.microsoft.com/office/drawing/2014/chart" uri="{C3380CC4-5D6E-409C-BE32-E72D297353CC}">
              <c16:uniqueId val="{00000001-28D3-42FF-A8A9-DCD55B32AD2A}"/>
            </c:ext>
          </c:extLst>
        </c:ser>
        <c:ser>
          <c:idx val="2"/>
          <c:order val="2"/>
          <c:tx>
            <c:strRef>
              <c:f>Tulokset!$C$10</c:f>
              <c:strCache>
                <c:ptCount val="1"/>
                <c:pt idx="0">
                  <c:v>Rakentaminen</c:v>
                </c:pt>
              </c:strCache>
            </c:strRef>
          </c:tx>
          <c:spPr>
            <a:solidFill>
              <a:schemeClr val="accent3"/>
            </a:solidFill>
            <a:ln>
              <a:noFill/>
            </a:ln>
            <a:effectLst/>
          </c:spPr>
          <c:invertIfNegative val="0"/>
          <c:cat>
            <c:strRef>
              <c:extLst>
                <c:ext xmlns:c15="http://schemas.microsoft.com/office/drawing/2012/chart" uri="{02D57815-91ED-43cb-92C2-25804820EDAC}">
                  <c15:fullRef>
                    <c15:sqref>Tulokset!$D$6:$E$6</c15:sqref>
                  </c15:fullRef>
                </c:ext>
              </c:extLst>
              <c:f>Tulokset!$D$6</c:f>
              <c:strCache>
                <c:ptCount val="1"/>
                <c:pt idx="0">
                  <c:v>tCO2e</c:v>
                </c:pt>
              </c:strCache>
            </c:strRef>
          </c:cat>
          <c:val>
            <c:numRef>
              <c:extLst>
                <c:ext xmlns:c15="http://schemas.microsoft.com/office/drawing/2012/chart" uri="{02D57815-91ED-43cb-92C2-25804820EDAC}">
                  <c15:fullRef>
                    <c15:sqref>Tulokset!$D$10:$E$10</c15:sqref>
                  </c15:fullRef>
                </c:ext>
              </c:extLst>
              <c:f>Tulokset!$D$10</c:f>
              <c:numCache>
                <c:formatCode>#,##0</c:formatCode>
                <c:ptCount val="1"/>
                <c:pt idx="0">
                  <c:v>0</c:v>
                </c:pt>
              </c:numCache>
            </c:numRef>
          </c:val>
          <c:extLst>
            <c:ext xmlns:c16="http://schemas.microsoft.com/office/drawing/2014/chart" uri="{C3380CC4-5D6E-409C-BE32-E72D297353CC}">
              <c16:uniqueId val="{00000001-CB6E-4B77-967B-F1C05B8E74F4}"/>
            </c:ext>
          </c:extLst>
        </c:ser>
        <c:ser>
          <c:idx val="3"/>
          <c:order val="3"/>
          <c:tx>
            <c:strRef>
              <c:f>Tulokset!$C$11</c:f>
              <c:strCache>
                <c:ptCount val="1"/>
                <c:pt idx="0">
                  <c:v>Jätteet</c:v>
                </c:pt>
              </c:strCache>
            </c:strRef>
          </c:tx>
          <c:spPr>
            <a:solidFill>
              <a:schemeClr val="accent4"/>
            </a:solidFill>
            <a:ln>
              <a:noFill/>
            </a:ln>
            <a:effectLst/>
          </c:spPr>
          <c:invertIfNegative val="0"/>
          <c:cat>
            <c:strRef>
              <c:extLst>
                <c:ext xmlns:c15="http://schemas.microsoft.com/office/drawing/2012/chart" uri="{02D57815-91ED-43cb-92C2-25804820EDAC}">
                  <c15:fullRef>
                    <c15:sqref>Tulokset!$D$6:$E$6</c15:sqref>
                  </c15:fullRef>
                </c:ext>
              </c:extLst>
              <c:f>Tulokset!$D$6</c:f>
              <c:strCache>
                <c:ptCount val="1"/>
                <c:pt idx="0">
                  <c:v>tCO2e</c:v>
                </c:pt>
              </c:strCache>
            </c:strRef>
          </c:cat>
          <c:val>
            <c:numRef>
              <c:extLst>
                <c:ext xmlns:c15="http://schemas.microsoft.com/office/drawing/2012/chart" uri="{02D57815-91ED-43cb-92C2-25804820EDAC}">
                  <c15:fullRef>
                    <c15:sqref>Tulokset!$D$11:$E$11</c15:sqref>
                  </c15:fullRef>
                </c:ext>
              </c:extLst>
              <c:f>Tulokset!$D$11</c:f>
              <c:numCache>
                <c:formatCode>#,##0</c:formatCode>
                <c:ptCount val="1"/>
                <c:pt idx="0">
                  <c:v>0</c:v>
                </c:pt>
              </c:numCache>
            </c:numRef>
          </c:val>
          <c:extLst>
            <c:ext xmlns:c16="http://schemas.microsoft.com/office/drawing/2014/chart" uri="{C3380CC4-5D6E-409C-BE32-E72D297353CC}">
              <c16:uniqueId val="{00000002-CB6E-4B77-967B-F1C05B8E74F4}"/>
            </c:ext>
          </c:extLst>
        </c:ser>
        <c:dLbls>
          <c:showLegendKey val="0"/>
          <c:showVal val="0"/>
          <c:showCatName val="0"/>
          <c:showSerName val="0"/>
          <c:showPercent val="0"/>
          <c:showBubbleSize val="0"/>
        </c:dLbls>
        <c:gapWidth val="219"/>
        <c:overlap val="-27"/>
        <c:axId val="931949384"/>
        <c:axId val="931946432"/>
      </c:barChart>
      <c:catAx>
        <c:axId val="9319493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31946432"/>
        <c:crosses val="autoZero"/>
        <c:auto val="0"/>
        <c:lblAlgn val="ctr"/>
        <c:lblOffset val="100"/>
        <c:noMultiLvlLbl val="0"/>
      </c:catAx>
      <c:valAx>
        <c:axId val="9319464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319493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fi-FI" b="1"/>
              <a:t>Skenaario 2</a:t>
            </a:r>
          </a:p>
          <a:p>
            <a:pPr>
              <a:defRPr b="1"/>
            </a:pPr>
            <a:r>
              <a:rPr lang="fi-FI" b="0"/>
              <a:t>tCO2e</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barChart>
        <c:barDir val="col"/>
        <c:grouping val="clustered"/>
        <c:varyColors val="0"/>
        <c:ser>
          <c:idx val="0"/>
          <c:order val="0"/>
          <c:tx>
            <c:strRef>
              <c:f>Tulokset!$C$15</c:f>
              <c:strCache>
                <c:ptCount val="1"/>
                <c:pt idx="0">
                  <c:v>Materiaalit</c:v>
                </c:pt>
              </c:strCache>
            </c:strRef>
          </c:tx>
          <c:spPr>
            <a:solidFill>
              <a:schemeClr val="accent1"/>
            </a:solidFill>
            <a:ln>
              <a:noFill/>
            </a:ln>
            <a:effectLst/>
          </c:spPr>
          <c:invertIfNegative val="0"/>
          <c:cat>
            <c:strRef>
              <c:extLst>
                <c:ext xmlns:c15="http://schemas.microsoft.com/office/drawing/2012/chart" uri="{02D57815-91ED-43cb-92C2-25804820EDAC}">
                  <c15:fullRef>
                    <c15:sqref>Tulokset!$D$6:$E$6</c15:sqref>
                  </c15:fullRef>
                </c:ext>
              </c:extLst>
              <c:f>Tulokset!$D$6</c:f>
              <c:strCache>
                <c:ptCount val="1"/>
                <c:pt idx="0">
                  <c:v>tCO2e</c:v>
                </c:pt>
              </c:strCache>
            </c:strRef>
          </c:cat>
          <c:val>
            <c:numRef>
              <c:extLst>
                <c:ext xmlns:c15="http://schemas.microsoft.com/office/drawing/2012/chart" uri="{02D57815-91ED-43cb-92C2-25804820EDAC}">
                  <c15:fullRef>
                    <c15:sqref>Tulokset!$D$15:$E$15</c15:sqref>
                  </c15:fullRef>
                </c:ext>
              </c:extLst>
              <c:f>Tulokset!$D$15</c:f>
              <c:numCache>
                <c:formatCode>#,##0</c:formatCode>
                <c:ptCount val="1"/>
                <c:pt idx="0">
                  <c:v>0</c:v>
                </c:pt>
              </c:numCache>
            </c:numRef>
          </c:val>
          <c:extLst>
            <c:ext xmlns:c16="http://schemas.microsoft.com/office/drawing/2014/chart" uri="{C3380CC4-5D6E-409C-BE32-E72D297353CC}">
              <c16:uniqueId val="{00000000-9D9C-49BD-8A38-C339C873FF93}"/>
            </c:ext>
          </c:extLst>
        </c:ser>
        <c:ser>
          <c:idx val="1"/>
          <c:order val="1"/>
          <c:tx>
            <c:strRef>
              <c:f>Tulokset!$C$16</c:f>
              <c:strCache>
                <c:ptCount val="1"/>
                <c:pt idx="0">
                  <c:v>Kuljetukset</c:v>
                </c:pt>
              </c:strCache>
            </c:strRef>
          </c:tx>
          <c:spPr>
            <a:solidFill>
              <a:schemeClr val="accent2"/>
            </a:solidFill>
            <a:ln>
              <a:noFill/>
            </a:ln>
            <a:effectLst/>
          </c:spPr>
          <c:invertIfNegative val="0"/>
          <c:cat>
            <c:strRef>
              <c:extLst>
                <c:ext xmlns:c15="http://schemas.microsoft.com/office/drawing/2012/chart" uri="{02D57815-91ED-43cb-92C2-25804820EDAC}">
                  <c15:fullRef>
                    <c15:sqref>Tulokset!$D$6:$E$6</c15:sqref>
                  </c15:fullRef>
                </c:ext>
              </c:extLst>
              <c:f>Tulokset!$D$6</c:f>
              <c:strCache>
                <c:ptCount val="1"/>
                <c:pt idx="0">
                  <c:v>tCO2e</c:v>
                </c:pt>
              </c:strCache>
            </c:strRef>
          </c:cat>
          <c:val>
            <c:numRef>
              <c:extLst>
                <c:ext xmlns:c15="http://schemas.microsoft.com/office/drawing/2012/chart" uri="{02D57815-91ED-43cb-92C2-25804820EDAC}">
                  <c15:fullRef>
                    <c15:sqref>Tulokset!$D$16:$E$16</c15:sqref>
                  </c15:fullRef>
                </c:ext>
              </c:extLst>
              <c:f>Tulokset!$D$16</c:f>
              <c:numCache>
                <c:formatCode>#,##0</c:formatCode>
                <c:ptCount val="1"/>
                <c:pt idx="0">
                  <c:v>0</c:v>
                </c:pt>
              </c:numCache>
            </c:numRef>
          </c:val>
          <c:extLst>
            <c:ext xmlns:c16="http://schemas.microsoft.com/office/drawing/2014/chart" uri="{C3380CC4-5D6E-409C-BE32-E72D297353CC}">
              <c16:uniqueId val="{00000001-9D9C-49BD-8A38-C339C873FF93}"/>
            </c:ext>
          </c:extLst>
        </c:ser>
        <c:ser>
          <c:idx val="2"/>
          <c:order val="2"/>
          <c:tx>
            <c:strRef>
              <c:f>Tulokset!$C$17</c:f>
              <c:strCache>
                <c:ptCount val="1"/>
                <c:pt idx="0">
                  <c:v>Rakentaminen</c:v>
                </c:pt>
              </c:strCache>
            </c:strRef>
          </c:tx>
          <c:spPr>
            <a:solidFill>
              <a:schemeClr val="accent3"/>
            </a:solidFill>
            <a:ln>
              <a:noFill/>
            </a:ln>
            <a:effectLst/>
          </c:spPr>
          <c:invertIfNegative val="0"/>
          <c:cat>
            <c:strRef>
              <c:extLst>
                <c:ext xmlns:c15="http://schemas.microsoft.com/office/drawing/2012/chart" uri="{02D57815-91ED-43cb-92C2-25804820EDAC}">
                  <c15:fullRef>
                    <c15:sqref>Tulokset!$D$6:$E$6</c15:sqref>
                  </c15:fullRef>
                </c:ext>
              </c:extLst>
              <c:f>Tulokset!$D$6</c:f>
              <c:strCache>
                <c:ptCount val="1"/>
                <c:pt idx="0">
                  <c:v>tCO2e</c:v>
                </c:pt>
              </c:strCache>
            </c:strRef>
          </c:cat>
          <c:val>
            <c:numRef>
              <c:extLst>
                <c:ext xmlns:c15="http://schemas.microsoft.com/office/drawing/2012/chart" uri="{02D57815-91ED-43cb-92C2-25804820EDAC}">
                  <c15:fullRef>
                    <c15:sqref>Tulokset!$D$17:$E$17</c15:sqref>
                  </c15:fullRef>
                </c:ext>
              </c:extLst>
              <c:f>Tulokset!$D$17</c:f>
              <c:numCache>
                <c:formatCode>#,##0</c:formatCode>
                <c:ptCount val="1"/>
                <c:pt idx="0">
                  <c:v>0</c:v>
                </c:pt>
              </c:numCache>
            </c:numRef>
          </c:val>
          <c:extLst>
            <c:ext xmlns:c16="http://schemas.microsoft.com/office/drawing/2014/chart" uri="{C3380CC4-5D6E-409C-BE32-E72D297353CC}">
              <c16:uniqueId val="{00000001-82A2-42FF-952E-DF3DBF87875D}"/>
            </c:ext>
          </c:extLst>
        </c:ser>
        <c:ser>
          <c:idx val="3"/>
          <c:order val="3"/>
          <c:tx>
            <c:strRef>
              <c:f>Tulokset!$C$18</c:f>
              <c:strCache>
                <c:ptCount val="1"/>
                <c:pt idx="0">
                  <c:v>Jätteet</c:v>
                </c:pt>
              </c:strCache>
            </c:strRef>
          </c:tx>
          <c:spPr>
            <a:solidFill>
              <a:schemeClr val="accent4"/>
            </a:solidFill>
            <a:ln>
              <a:noFill/>
            </a:ln>
            <a:effectLst/>
          </c:spPr>
          <c:invertIfNegative val="0"/>
          <c:cat>
            <c:strRef>
              <c:extLst>
                <c:ext xmlns:c15="http://schemas.microsoft.com/office/drawing/2012/chart" uri="{02D57815-91ED-43cb-92C2-25804820EDAC}">
                  <c15:fullRef>
                    <c15:sqref>Tulokset!$D$6:$E$6</c15:sqref>
                  </c15:fullRef>
                </c:ext>
              </c:extLst>
              <c:f>Tulokset!$D$6</c:f>
              <c:strCache>
                <c:ptCount val="1"/>
                <c:pt idx="0">
                  <c:v>tCO2e</c:v>
                </c:pt>
              </c:strCache>
            </c:strRef>
          </c:cat>
          <c:val>
            <c:numRef>
              <c:extLst>
                <c:ext xmlns:c15="http://schemas.microsoft.com/office/drawing/2012/chart" uri="{02D57815-91ED-43cb-92C2-25804820EDAC}">
                  <c15:fullRef>
                    <c15:sqref>Tulokset!$D$18:$E$18</c15:sqref>
                  </c15:fullRef>
                </c:ext>
              </c:extLst>
              <c:f>Tulokset!$D$18</c:f>
              <c:numCache>
                <c:formatCode>#,##0</c:formatCode>
                <c:ptCount val="1"/>
                <c:pt idx="0">
                  <c:v>0</c:v>
                </c:pt>
              </c:numCache>
            </c:numRef>
          </c:val>
          <c:extLst>
            <c:ext xmlns:c16="http://schemas.microsoft.com/office/drawing/2014/chart" uri="{C3380CC4-5D6E-409C-BE32-E72D297353CC}">
              <c16:uniqueId val="{00000002-82A2-42FF-952E-DF3DBF87875D}"/>
            </c:ext>
          </c:extLst>
        </c:ser>
        <c:dLbls>
          <c:showLegendKey val="0"/>
          <c:showVal val="0"/>
          <c:showCatName val="0"/>
          <c:showSerName val="0"/>
          <c:showPercent val="0"/>
          <c:showBubbleSize val="0"/>
        </c:dLbls>
        <c:gapWidth val="219"/>
        <c:overlap val="-27"/>
        <c:axId val="931949384"/>
        <c:axId val="931946432"/>
      </c:barChart>
      <c:catAx>
        <c:axId val="9319493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31946432"/>
        <c:crosses val="autoZero"/>
        <c:auto val="1"/>
        <c:lblAlgn val="ctr"/>
        <c:lblOffset val="100"/>
        <c:noMultiLvlLbl val="0"/>
      </c:catAx>
      <c:valAx>
        <c:axId val="9319464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319493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b="1"/>
              <a:t>Päästöjen vertailu</a:t>
            </a:r>
          </a:p>
          <a:p>
            <a:pPr>
              <a:defRPr/>
            </a:pPr>
            <a:r>
              <a:rPr lang="fi-FI"/>
              <a:t>tCO2e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barChart>
        <c:barDir val="col"/>
        <c:grouping val="clustered"/>
        <c:varyColors val="0"/>
        <c:ser>
          <c:idx val="0"/>
          <c:order val="0"/>
          <c:tx>
            <c:strRef>
              <c:f>Tulokset!$J$6</c:f>
              <c:strCache>
                <c:ptCount val="1"/>
                <c:pt idx="0">
                  <c:v>Skenaario 1</c:v>
                </c:pt>
              </c:strCache>
            </c:strRef>
          </c:tx>
          <c:spPr>
            <a:solidFill>
              <a:schemeClr val="accent1"/>
            </a:solidFill>
            <a:ln>
              <a:noFill/>
            </a:ln>
            <a:effectLst/>
          </c:spPr>
          <c:invertIfNegative val="0"/>
          <c:cat>
            <c:strRef>
              <c:f>Tulokset!$I$7:$I$11</c:f>
              <c:strCache>
                <c:ptCount val="5"/>
                <c:pt idx="0">
                  <c:v>Yhteistulos</c:v>
                </c:pt>
                <c:pt idx="1">
                  <c:v>Materiaalit</c:v>
                </c:pt>
                <c:pt idx="2">
                  <c:v>Kuljetukset</c:v>
                </c:pt>
                <c:pt idx="3">
                  <c:v>Rakentaminen</c:v>
                </c:pt>
                <c:pt idx="4">
                  <c:v>Jätteet</c:v>
                </c:pt>
              </c:strCache>
            </c:strRef>
          </c:cat>
          <c:val>
            <c:numRef>
              <c:f>Tulokset!$J$7:$J$11</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0-FE5C-4445-9F4B-A541650D52B5}"/>
            </c:ext>
          </c:extLst>
        </c:ser>
        <c:ser>
          <c:idx val="1"/>
          <c:order val="1"/>
          <c:tx>
            <c:strRef>
              <c:f>Tulokset!$K$6</c:f>
              <c:strCache>
                <c:ptCount val="1"/>
                <c:pt idx="0">
                  <c:v>Skenaario 2</c:v>
                </c:pt>
              </c:strCache>
            </c:strRef>
          </c:tx>
          <c:spPr>
            <a:solidFill>
              <a:schemeClr val="accent2"/>
            </a:solidFill>
            <a:ln>
              <a:noFill/>
            </a:ln>
            <a:effectLst/>
          </c:spPr>
          <c:invertIfNegative val="0"/>
          <c:cat>
            <c:strRef>
              <c:f>Tulokset!$I$7:$I$11</c:f>
              <c:strCache>
                <c:ptCount val="5"/>
                <c:pt idx="0">
                  <c:v>Yhteistulos</c:v>
                </c:pt>
                <c:pt idx="1">
                  <c:v>Materiaalit</c:v>
                </c:pt>
                <c:pt idx="2">
                  <c:v>Kuljetukset</c:v>
                </c:pt>
                <c:pt idx="3">
                  <c:v>Rakentaminen</c:v>
                </c:pt>
                <c:pt idx="4">
                  <c:v>Jätteet</c:v>
                </c:pt>
              </c:strCache>
            </c:strRef>
          </c:cat>
          <c:val>
            <c:numRef>
              <c:f>Tulokset!$K$7:$K$11</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1-FE5C-4445-9F4B-A541650D52B5}"/>
            </c:ext>
          </c:extLst>
        </c:ser>
        <c:dLbls>
          <c:showLegendKey val="0"/>
          <c:showVal val="0"/>
          <c:showCatName val="0"/>
          <c:showSerName val="0"/>
          <c:showPercent val="0"/>
          <c:showBubbleSize val="0"/>
        </c:dLbls>
        <c:gapWidth val="219"/>
        <c:overlap val="-27"/>
        <c:axId val="921506552"/>
        <c:axId val="492439128"/>
      </c:barChart>
      <c:catAx>
        <c:axId val="9215065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492439128"/>
        <c:crosses val="autoZero"/>
        <c:auto val="1"/>
        <c:lblAlgn val="ctr"/>
        <c:lblOffset val="100"/>
        <c:noMultiLvlLbl val="0"/>
      </c:catAx>
      <c:valAx>
        <c:axId val="49243912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215065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b="1"/>
              <a:t>Kustannuksien</a:t>
            </a:r>
            <a:r>
              <a:rPr lang="fi-FI" b="1" baseline="0"/>
              <a:t> vertailu</a:t>
            </a:r>
          </a:p>
          <a:p>
            <a:pPr>
              <a:defRPr/>
            </a:pPr>
            <a:r>
              <a:rPr lang="fi-FI" baseline="0"/>
              <a:t>€</a:t>
            </a:r>
            <a:endParaRPr lang="fi-FI"/>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barChart>
        <c:barDir val="col"/>
        <c:grouping val="clustered"/>
        <c:varyColors val="0"/>
        <c:ser>
          <c:idx val="0"/>
          <c:order val="0"/>
          <c:tx>
            <c:strRef>
              <c:f>Tulokset!$J$13</c:f>
              <c:strCache>
                <c:ptCount val="1"/>
                <c:pt idx="0">
                  <c:v>Skenaario 1</c:v>
                </c:pt>
              </c:strCache>
            </c:strRef>
          </c:tx>
          <c:spPr>
            <a:solidFill>
              <a:schemeClr val="accent1"/>
            </a:solidFill>
            <a:ln>
              <a:noFill/>
            </a:ln>
            <a:effectLst/>
          </c:spPr>
          <c:invertIfNegative val="0"/>
          <c:cat>
            <c:strRef>
              <c:f>Tulokset!$I$14:$I$18</c:f>
              <c:strCache>
                <c:ptCount val="5"/>
                <c:pt idx="0">
                  <c:v>Yhteistulos</c:v>
                </c:pt>
                <c:pt idx="1">
                  <c:v>Materiaalit</c:v>
                </c:pt>
                <c:pt idx="2">
                  <c:v>Kuljetukset</c:v>
                </c:pt>
                <c:pt idx="3">
                  <c:v>Rakentaminen</c:v>
                </c:pt>
                <c:pt idx="4">
                  <c:v>Jätteet</c:v>
                </c:pt>
              </c:strCache>
            </c:strRef>
          </c:cat>
          <c:val>
            <c:numRef>
              <c:f>Tulokset!$J$14:$J$18</c:f>
              <c:numCache>
                <c:formatCode>#,##0</c:formatCode>
                <c:ptCount val="5"/>
                <c:pt idx="0">
                  <c:v>0</c:v>
                </c:pt>
                <c:pt idx="1">
                  <c:v>0</c:v>
                </c:pt>
                <c:pt idx="2">
                  <c:v>0</c:v>
                </c:pt>
              </c:numCache>
            </c:numRef>
          </c:val>
          <c:extLst>
            <c:ext xmlns:c16="http://schemas.microsoft.com/office/drawing/2014/chart" uri="{C3380CC4-5D6E-409C-BE32-E72D297353CC}">
              <c16:uniqueId val="{00000000-54EF-4BA5-8175-1FC830F491D9}"/>
            </c:ext>
          </c:extLst>
        </c:ser>
        <c:ser>
          <c:idx val="1"/>
          <c:order val="1"/>
          <c:tx>
            <c:strRef>
              <c:f>Tulokset!$K$13</c:f>
              <c:strCache>
                <c:ptCount val="1"/>
                <c:pt idx="0">
                  <c:v>Skenaario 2</c:v>
                </c:pt>
              </c:strCache>
            </c:strRef>
          </c:tx>
          <c:spPr>
            <a:solidFill>
              <a:schemeClr val="accent2"/>
            </a:solidFill>
            <a:ln>
              <a:noFill/>
            </a:ln>
            <a:effectLst/>
          </c:spPr>
          <c:invertIfNegative val="0"/>
          <c:cat>
            <c:strRef>
              <c:f>Tulokset!$I$14:$I$18</c:f>
              <c:strCache>
                <c:ptCount val="5"/>
                <c:pt idx="0">
                  <c:v>Yhteistulos</c:v>
                </c:pt>
                <c:pt idx="1">
                  <c:v>Materiaalit</c:v>
                </c:pt>
                <c:pt idx="2">
                  <c:v>Kuljetukset</c:v>
                </c:pt>
                <c:pt idx="3">
                  <c:v>Rakentaminen</c:v>
                </c:pt>
                <c:pt idx="4">
                  <c:v>Jätteet</c:v>
                </c:pt>
              </c:strCache>
            </c:strRef>
          </c:cat>
          <c:val>
            <c:numRef>
              <c:f>Tulokset!$K$14:$K$18</c:f>
              <c:numCache>
                <c:formatCode>#,##0</c:formatCode>
                <c:ptCount val="5"/>
                <c:pt idx="0">
                  <c:v>0</c:v>
                </c:pt>
                <c:pt idx="1">
                  <c:v>0</c:v>
                </c:pt>
                <c:pt idx="2">
                  <c:v>0</c:v>
                </c:pt>
              </c:numCache>
            </c:numRef>
          </c:val>
          <c:extLst>
            <c:ext xmlns:c16="http://schemas.microsoft.com/office/drawing/2014/chart" uri="{C3380CC4-5D6E-409C-BE32-E72D297353CC}">
              <c16:uniqueId val="{00000001-54EF-4BA5-8175-1FC830F491D9}"/>
            </c:ext>
          </c:extLst>
        </c:ser>
        <c:dLbls>
          <c:showLegendKey val="0"/>
          <c:showVal val="0"/>
          <c:showCatName val="0"/>
          <c:showSerName val="0"/>
          <c:showPercent val="0"/>
          <c:showBubbleSize val="0"/>
        </c:dLbls>
        <c:gapWidth val="219"/>
        <c:overlap val="-27"/>
        <c:axId val="926724872"/>
        <c:axId val="926718968"/>
      </c:barChart>
      <c:catAx>
        <c:axId val="9267248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26718968"/>
        <c:crosses val="autoZero"/>
        <c:auto val="1"/>
        <c:lblAlgn val="ctr"/>
        <c:lblOffset val="100"/>
        <c:noMultiLvlLbl val="0"/>
      </c:catAx>
      <c:valAx>
        <c:axId val="92671896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267248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b="1"/>
              <a:t>Skenaario 1</a:t>
            </a:r>
            <a:endParaRPr lang="fi-FI" b="1" baseline="0"/>
          </a:p>
          <a:p>
            <a:pPr>
              <a:defRPr/>
            </a:pPr>
            <a:r>
              <a:rPr lang="fi-FI" sz="1100" i="1" baseline="0"/>
              <a:t>Päästöt</a:t>
            </a:r>
            <a:endParaRPr lang="fi-FI" sz="1100" i="1"/>
          </a:p>
        </c:rich>
      </c:tx>
      <c:layout>
        <c:manualLayout>
          <c:xMode val="edge"/>
          <c:yMode val="edge"/>
          <c:x val="0.37923600174978123"/>
          <c:y val="2.77777777777777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8450-4779-8266-3D6A71427FD6}"/>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8450-4779-8266-3D6A71427FD6}"/>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8450-4779-8266-3D6A71427FD6}"/>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8450-4779-8266-3D6A71427FD6}"/>
              </c:ext>
            </c:extLst>
          </c:dPt>
          <c:dLbls>
            <c:dLbl>
              <c:idx val="0"/>
              <c:layout>
                <c:manualLayout>
                  <c:x val="3.3627308964945209E-2"/>
                  <c:y val="-4.8577590985827918E-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8450-4779-8266-3D6A71427FD6}"/>
                </c:ext>
              </c:extLst>
            </c:dLbl>
            <c:dLbl>
              <c:idx val="1"/>
              <c:layout>
                <c:manualLayout>
                  <c:x val="-0.10518986910697768"/>
                  <c:y val="0.11681254976269734"/>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8450-4779-8266-3D6A71427FD6}"/>
                </c:ext>
              </c:extLst>
            </c:dLbl>
            <c:dLbl>
              <c:idx val="2"/>
              <c:layout>
                <c:manualLayout>
                  <c:x val="-0.15409737549791147"/>
                  <c:y val="7.6605438523569677E-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8450-4779-8266-3D6A71427FD6}"/>
                </c:ext>
              </c:extLst>
            </c:dLbl>
            <c:dLbl>
              <c:idx val="3"/>
              <c:layout>
                <c:manualLayout>
                  <c:x val="0.14158719431279798"/>
                  <c:y val="3.4377145721580848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8450-4779-8266-3D6A71427FD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i-FI"/>
              </a:p>
            </c:txPr>
            <c:dLblPos val="bestFit"/>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Tulokset!$D$61:$D$64</c:f>
              <c:strCache>
                <c:ptCount val="4"/>
                <c:pt idx="0">
                  <c:v>Materiaalien päästöt</c:v>
                </c:pt>
                <c:pt idx="1">
                  <c:v>Materiaalien kuljetus</c:v>
                </c:pt>
                <c:pt idx="2">
                  <c:v>Rakentamisen päästöt</c:v>
                </c:pt>
                <c:pt idx="3">
                  <c:v>Jätteiden käsittely</c:v>
                </c:pt>
              </c:strCache>
            </c:strRef>
          </c:cat>
          <c:val>
            <c:numRef>
              <c:f>Tulokset!$F$61:$F$64</c:f>
              <c:numCache>
                <c:formatCode>0.00</c:formatCode>
                <c:ptCount val="4"/>
                <c:pt idx="0">
                  <c:v>0</c:v>
                </c:pt>
                <c:pt idx="1">
                  <c:v>0</c:v>
                </c:pt>
                <c:pt idx="2">
                  <c:v>0</c:v>
                </c:pt>
                <c:pt idx="3">
                  <c:v>0</c:v>
                </c:pt>
              </c:numCache>
            </c:numRef>
          </c:val>
          <c:extLst>
            <c:ext xmlns:c16="http://schemas.microsoft.com/office/drawing/2014/chart" uri="{C3380CC4-5D6E-409C-BE32-E72D297353CC}">
              <c16:uniqueId val="{00000000-F58C-4802-ABB1-B5253D638543}"/>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b="1"/>
              <a:t>Skenaario</a:t>
            </a:r>
            <a:r>
              <a:rPr lang="fi-FI" b="1" baseline="0"/>
              <a:t> 2</a:t>
            </a:r>
          </a:p>
          <a:p>
            <a:pPr>
              <a:defRPr/>
            </a:pPr>
            <a:r>
              <a:rPr lang="fi-FI" sz="1100" i="1" baseline="0"/>
              <a:t>Päästöt</a:t>
            </a:r>
            <a:endParaRPr lang="fi-FI" sz="1100" i="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47EE-4B6D-B5DB-11B0C70E6310}"/>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47EE-4B6D-B5DB-11B0C70E6310}"/>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47EE-4B6D-B5DB-11B0C70E6310}"/>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47EE-4B6D-B5DB-11B0C70E6310}"/>
              </c:ext>
            </c:extLst>
          </c:dPt>
          <c:dLbls>
            <c:dLbl>
              <c:idx val="0"/>
              <c:layout>
                <c:manualLayout>
                  <c:x val="0.1257278779539843"/>
                  <c:y val="-3.6247247364092905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47EE-4B6D-B5DB-11B0C70E6310}"/>
                </c:ext>
              </c:extLst>
            </c:dLbl>
            <c:dLbl>
              <c:idx val="1"/>
              <c:layout>
                <c:manualLayout>
                  <c:x val="-0.18498917205289186"/>
                  <c:y val="0.18986756107125277"/>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47EE-4B6D-B5DB-11B0C70E6310}"/>
                </c:ext>
              </c:extLst>
            </c:dLbl>
            <c:dLbl>
              <c:idx val="2"/>
              <c:layout>
                <c:manualLayout>
                  <c:x val="-0.1630227529503501"/>
                  <c:y val="5.6985243802670837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47EE-4B6D-B5DB-11B0C70E6310}"/>
                </c:ext>
              </c:extLst>
            </c:dLbl>
            <c:dLbl>
              <c:idx val="3"/>
              <c:layout>
                <c:manualLayout>
                  <c:x val="0.14096605819981661"/>
                  <c:y val="6.1222100233872929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47EE-4B6D-B5DB-11B0C70E631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i-FI"/>
              </a:p>
            </c:txPr>
            <c:dLblPos val="bestFit"/>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Tulokset!$H$61:$H$64</c:f>
              <c:strCache>
                <c:ptCount val="4"/>
                <c:pt idx="0">
                  <c:v>Materiaalien päästöt</c:v>
                </c:pt>
                <c:pt idx="1">
                  <c:v>Materiaalien kuljetus</c:v>
                </c:pt>
                <c:pt idx="2">
                  <c:v>Rakentamisen päästöt</c:v>
                </c:pt>
                <c:pt idx="3">
                  <c:v>Jätteiden käsittely</c:v>
                </c:pt>
              </c:strCache>
            </c:strRef>
          </c:cat>
          <c:val>
            <c:numRef>
              <c:f>Tulokset!$J$61:$J$64</c:f>
              <c:numCache>
                <c:formatCode>0.00</c:formatCode>
                <c:ptCount val="4"/>
                <c:pt idx="0">
                  <c:v>0</c:v>
                </c:pt>
                <c:pt idx="1">
                  <c:v>0</c:v>
                </c:pt>
                <c:pt idx="2">
                  <c:v>0</c:v>
                </c:pt>
                <c:pt idx="3">
                  <c:v>0</c:v>
                </c:pt>
              </c:numCache>
            </c:numRef>
          </c:val>
          <c:extLst>
            <c:ext xmlns:c16="http://schemas.microsoft.com/office/drawing/2014/chart" uri="{C3380CC4-5D6E-409C-BE32-E72D297353CC}">
              <c16:uniqueId val="{00000008-47EE-4B6D-B5DB-11B0C70E6310}"/>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fi-FI" b="1"/>
              <a:t>Skenaario 1</a:t>
            </a:r>
          </a:p>
          <a:p>
            <a:pPr>
              <a:defRPr b="1"/>
            </a:pPr>
            <a:r>
              <a:rPr lang="fi-FI" b="0"/>
              <a:t>€</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barChart>
        <c:barDir val="col"/>
        <c:grouping val="clustered"/>
        <c:varyColors val="0"/>
        <c:ser>
          <c:idx val="0"/>
          <c:order val="0"/>
          <c:tx>
            <c:strRef>
              <c:f>Tulokset!$C$8</c:f>
              <c:strCache>
                <c:ptCount val="1"/>
                <c:pt idx="0">
                  <c:v>Materiaalit</c:v>
                </c:pt>
              </c:strCache>
            </c:strRef>
          </c:tx>
          <c:spPr>
            <a:solidFill>
              <a:schemeClr val="accent1"/>
            </a:solidFill>
            <a:ln>
              <a:noFill/>
            </a:ln>
            <a:effectLst/>
          </c:spPr>
          <c:invertIfNegative val="0"/>
          <c:cat>
            <c:strRef>
              <c:extLst>
                <c:ext xmlns:c15="http://schemas.microsoft.com/office/drawing/2012/chart" uri="{02D57815-91ED-43cb-92C2-25804820EDAC}">
                  <c15:fullRef>
                    <c15:sqref>Tulokset!$D$6:$E$6</c15:sqref>
                  </c15:fullRef>
                </c:ext>
              </c:extLst>
              <c:f>Tulokset!$E$6</c:f>
              <c:strCache>
                <c:ptCount val="1"/>
                <c:pt idx="0">
                  <c:v>€</c:v>
                </c:pt>
              </c:strCache>
            </c:strRef>
          </c:cat>
          <c:val>
            <c:numRef>
              <c:extLst>
                <c:ext xmlns:c15="http://schemas.microsoft.com/office/drawing/2012/chart" uri="{02D57815-91ED-43cb-92C2-25804820EDAC}">
                  <c15:fullRef>
                    <c15:sqref>Tulokset!$D$8:$E$8</c15:sqref>
                  </c15:fullRef>
                </c:ext>
              </c:extLst>
              <c:f>Tulokset!$E$8</c:f>
              <c:numCache>
                <c:formatCode>#,##0</c:formatCode>
                <c:ptCount val="1"/>
                <c:pt idx="0">
                  <c:v>0</c:v>
                </c:pt>
              </c:numCache>
            </c:numRef>
          </c:val>
          <c:extLst>
            <c:ext xmlns:c16="http://schemas.microsoft.com/office/drawing/2014/chart" uri="{C3380CC4-5D6E-409C-BE32-E72D297353CC}">
              <c16:uniqueId val="{00000000-B097-4533-973A-E95E0D87895A}"/>
            </c:ext>
          </c:extLst>
        </c:ser>
        <c:ser>
          <c:idx val="1"/>
          <c:order val="1"/>
          <c:tx>
            <c:strRef>
              <c:f>Tulokset!$C$9</c:f>
              <c:strCache>
                <c:ptCount val="1"/>
                <c:pt idx="0">
                  <c:v>Kuljetukset</c:v>
                </c:pt>
              </c:strCache>
            </c:strRef>
          </c:tx>
          <c:spPr>
            <a:solidFill>
              <a:schemeClr val="accent2"/>
            </a:solidFill>
            <a:ln>
              <a:noFill/>
            </a:ln>
            <a:effectLst/>
          </c:spPr>
          <c:invertIfNegative val="0"/>
          <c:cat>
            <c:strRef>
              <c:extLst>
                <c:ext xmlns:c15="http://schemas.microsoft.com/office/drawing/2012/chart" uri="{02D57815-91ED-43cb-92C2-25804820EDAC}">
                  <c15:fullRef>
                    <c15:sqref>Tulokset!$D$6:$E$6</c15:sqref>
                  </c15:fullRef>
                </c:ext>
              </c:extLst>
              <c:f>Tulokset!$E$6</c:f>
              <c:strCache>
                <c:ptCount val="1"/>
                <c:pt idx="0">
                  <c:v>€</c:v>
                </c:pt>
              </c:strCache>
            </c:strRef>
          </c:cat>
          <c:val>
            <c:numRef>
              <c:extLst>
                <c:ext xmlns:c15="http://schemas.microsoft.com/office/drawing/2012/chart" uri="{02D57815-91ED-43cb-92C2-25804820EDAC}">
                  <c15:fullRef>
                    <c15:sqref>Tulokset!$D$9:$E$9</c15:sqref>
                  </c15:fullRef>
                </c:ext>
              </c:extLst>
              <c:f>Tulokset!$E$9</c:f>
              <c:numCache>
                <c:formatCode>#,##0</c:formatCode>
                <c:ptCount val="1"/>
                <c:pt idx="0">
                  <c:v>0</c:v>
                </c:pt>
              </c:numCache>
            </c:numRef>
          </c:val>
          <c:extLst>
            <c:ext xmlns:c16="http://schemas.microsoft.com/office/drawing/2014/chart" uri="{C3380CC4-5D6E-409C-BE32-E72D297353CC}">
              <c16:uniqueId val="{00000001-B097-4533-973A-E95E0D87895A}"/>
            </c:ext>
          </c:extLst>
        </c:ser>
        <c:ser>
          <c:idx val="2"/>
          <c:order val="2"/>
          <c:tx>
            <c:strRef>
              <c:f>Tulokset!$C$10</c:f>
              <c:strCache>
                <c:ptCount val="1"/>
                <c:pt idx="0">
                  <c:v>Rakentaminen</c:v>
                </c:pt>
              </c:strCache>
            </c:strRef>
          </c:tx>
          <c:spPr>
            <a:solidFill>
              <a:schemeClr val="accent3"/>
            </a:solidFill>
            <a:ln>
              <a:noFill/>
            </a:ln>
            <a:effectLst/>
          </c:spPr>
          <c:invertIfNegative val="0"/>
          <c:cat>
            <c:strRef>
              <c:extLst>
                <c:ext xmlns:c15="http://schemas.microsoft.com/office/drawing/2012/chart" uri="{02D57815-91ED-43cb-92C2-25804820EDAC}">
                  <c15:fullRef>
                    <c15:sqref>Tulokset!$D$6:$E$6</c15:sqref>
                  </c15:fullRef>
                </c:ext>
              </c:extLst>
              <c:f>Tulokset!$E$6</c:f>
              <c:strCache>
                <c:ptCount val="1"/>
                <c:pt idx="0">
                  <c:v>€</c:v>
                </c:pt>
              </c:strCache>
            </c:strRef>
          </c:cat>
          <c:val>
            <c:numRef>
              <c:extLst>
                <c:ext xmlns:c15="http://schemas.microsoft.com/office/drawing/2012/chart" uri="{02D57815-91ED-43cb-92C2-25804820EDAC}">
                  <c15:fullRef>
                    <c15:sqref>Tulokset!$D$10:$E$10</c15:sqref>
                  </c15:fullRef>
                </c:ext>
              </c:extLst>
              <c:f>Tulokset!$E$10</c:f>
              <c:numCache>
                <c:formatCode>#,##0</c:formatCode>
                <c:ptCount val="1"/>
              </c:numCache>
            </c:numRef>
          </c:val>
          <c:extLst>
            <c:ext xmlns:c16="http://schemas.microsoft.com/office/drawing/2014/chart" uri="{C3380CC4-5D6E-409C-BE32-E72D297353CC}">
              <c16:uniqueId val="{00000002-B097-4533-973A-E95E0D87895A}"/>
            </c:ext>
          </c:extLst>
        </c:ser>
        <c:ser>
          <c:idx val="3"/>
          <c:order val="3"/>
          <c:tx>
            <c:strRef>
              <c:f>Tulokset!$C$11</c:f>
              <c:strCache>
                <c:ptCount val="1"/>
                <c:pt idx="0">
                  <c:v>Jätteet</c:v>
                </c:pt>
              </c:strCache>
            </c:strRef>
          </c:tx>
          <c:spPr>
            <a:solidFill>
              <a:schemeClr val="accent4"/>
            </a:solidFill>
            <a:ln>
              <a:noFill/>
            </a:ln>
            <a:effectLst/>
          </c:spPr>
          <c:invertIfNegative val="0"/>
          <c:cat>
            <c:strRef>
              <c:extLst>
                <c:ext xmlns:c15="http://schemas.microsoft.com/office/drawing/2012/chart" uri="{02D57815-91ED-43cb-92C2-25804820EDAC}">
                  <c15:fullRef>
                    <c15:sqref>Tulokset!$D$6:$E$6</c15:sqref>
                  </c15:fullRef>
                </c:ext>
              </c:extLst>
              <c:f>Tulokset!$E$6</c:f>
              <c:strCache>
                <c:ptCount val="1"/>
                <c:pt idx="0">
                  <c:v>€</c:v>
                </c:pt>
              </c:strCache>
            </c:strRef>
          </c:cat>
          <c:val>
            <c:numRef>
              <c:extLst>
                <c:ext xmlns:c15="http://schemas.microsoft.com/office/drawing/2012/chart" uri="{02D57815-91ED-43cb-92C2-25804820EDAC}">
                  <c15:fullRef>
                    <c15:sqref>Tulokset!$D$11:$E$11</c15:sqref>
                  </c15:fullRef>
                </c:ext>
              </c:extLst>
              <c:f>Tulokset!$E$11</c:f>
              <c:numCache>
                <c:formatCode>#,##0</c:formatCode>
                <c:ptCount val="1"/>
              </c:numCache>
            </c:numRef>
          </c:val>
          <c:extLst>
            <c:ext xmlns:c16="http://schemas.microsoft.com/office/drawing/2014/chart" uri="{C3380CC4-5D6E-409C-BE32-E72D297353CC}">
              <c16:uniqueId val="{00000003-B097-4533-973A-E95E0D87895A}"/>
            </c:ext>
          </c:extLst>
        </c:ser>
        <c:dLbls>
          <c:showLegendKey val="0"/>
          <c:showVal val="0"/>
          <c:showCatName val="0"/>
          <c:showSerName val="0"/>
          <c:showPercent val="0"/>
          <c:showBubbleSize val="0"/>
        </c:dLbls>
        <c:gapWidth val="219"/>
        <c:overlap val="-27"/>
        <c:axId val="931949384"/>
        <c:axId val="931946432"/>
      </c:barChart>
      <c:catAx>
        <c:axId val="9319493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31946432"/>
        <c:crosses val="autoZero"/>
        <c:auto val="0"/>
        <c:lblAlgn val="ctr"/>
        <c:lblOffset val="100"/>
        <c:noMultiLvlLbl val="0"/>
      </c:catAx>
      <c:valAx>
        <c:axId val="9319464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319493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fi-FI" b="1"/>
              <a:t>Skenaario 2</a:t>
            </a:r>
          </a:p>
          <a:p>
            <a:pPr>
              <a:defRPr b="1"/>
            </a:pPr>
            <a:r>
              <a:rPr lang="fi-FI" b="0"/>
              <a:t>€</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barChart>
        <c:barDir val="col"/>
        <c:grouping val="clustered"/>
        <c:varyColors val="0"/>
        <c:ser>
          <c:idx val="0"/>
          <c:order val="0"/>
          <c:tx>
            <c:strRef>
              <c:f>Tulokset!$C$15</c:f>
              <c:strCache>
                <c:ptCount val="1"/>
                <c:pt idx="0">
                  <c:v>Materiaalit</c:v>
                </c:pt>
              </c:strCache>
            </c:strRef>
          </c:tx>
          <c:spPr>
            <a:solidFill>
              <a:schemeClr val="accent1"/>
            </a:solidFill>
            <a:ln>
              <a:noFill/>
            </a:ln>
            <a:effectLst/>
          </c:spPr>
          <c:invertIfNegative val="0"/>
          <c:cat>
            <c:strRef>
              <c:extLst>
                <c:ext xmlns:c15="http://schemas.microsoft.com/office/drawing/2012/chart" uri="{02D57815-91ED-43cb-92C2-25804820EDAC}">
                  <c15:fullRef>
                    <c15:sqref>Tulokset!$D$6:$E$6</c15:sqref>
                  </c15:fullRef>
                </c:ext>
              </c:extLst>
              <c:f>Tulokset!$E$6</c:f>
              <c:strCache>
                <c:ptCount val="1"/>
                <c:pt idx="0">
                  <c:v>€</c:v>
                </c:pt>
              </c:strCache>
            </c:strRef>
          </c:cat>
          <c:val>
            <c:numRef>
              <c:extLst>
                <c:ext xmlns:c15="http://schemas.microsoft.com/office/drawing/2012/chart" uri="{02D57815-91ED-43cb-92C2-25804820EDAC}">
                  <c15:fullRef>
                    <c15:sqref>Tulokset!$D$15:$E$15</c15:sqref>
                  </c15:fullRef>
                </c:ext>
              </c:extLst>
              <c:f>Tulokset!$E$15</c:f>
              <c:numCache>
                <c:formatCode>#,##0</c:formatCode>
                <c:ptCount val="1"/>
                <c:pt idx="0">
                  <c:v>0</c:v>
                </c:pt>
              </c:numCache>
            </c:numRef>
          </c:val>
          <c:extLst>
            <c:ext xmlns:c16="http://schemas.microsoft.com/office/drawing/2014/chart" uri="{C3380CC4-5D6E-409C-BE32-E72D297353CC}">
              <c16:uniqueId val="{00000000-29F2-43FF-AF65-761A0418D6BB}"/>
            </c:ext>
          </c:extLst>
        </c:ser>
        <c:ser>
          <c:idx val="1"/>
          <c:order val="1"/>
          <c:tx>
            <c:strRef>
              <c:f>Tulokset!$C$16</c:f>
              <c:strCache>
                <c:ptCount val="1"/>
                <c:pt idx="0">
                  <c:v>Kuljetukset</c:v>
                </c:pt>
              </c:strCache>
            </c:strRef>
          </c:tx>
          <c:spPr>
            <a:solidFill>
              <a:schemeClr val="accent2"/>
            </a:solidFill>
            <a:ln>
              <a:noFill/>
            </a:ln>
            <a:effectLst/>
          </c:spPr>
          <c:invertIfNegative val="0"/>
          <c:cat>
            <c:strRef>
              <c:extLst>
                <c:ext xmlns:c15="http://schemas.microsoft.com/office/drawing/2012/chart" uri="{02D57815-91ED-43cb-92C2-25804820EDAC}">
                  <c15:fullRef>
                    <c15:sqref>Tulokset!$D$6:$E$6</c15:sqref>
                  </c15:fullRef>
                </c:ext>
              </c:extLst>
              <c:f>Tulokset!$E$6</c:f>
              <c:strCache>
                <c:ptCount val="1"/>
                <c:pt idx="0">
                  <c:v>€</c:v>
                </c:pt>
              </c:strCache>
            </c:strRef>
          </c:cat>
          <c:val>
            <c:numRef>
              <c:extLst>
                <c:ext xmlns:c15="http://schemas.microsoft.com/office/drawing/2012/chart" uri="{02D57815-91ED-43cb-92C2-25804820EDAC}">
                  <c15:fullRef>
                    <c15:sqref>Tulokset!$D$16:$E$16</c15:sqref>
                  </c15:fullRef>
                </c:ext>
              </c:extLst>
              <c:f>Tulokset!$E$16</c:f>
              <c:numCache>
                <c:formatCode>#,##0</c:formatCode>
                <c:ptCount val="1"/>
                <c:pt idx="0">
                  <c:v>0</c:v>
                </c:pt>
              </c:numCache>
            </c:numRef>
          </c:val>
          <c:extLst>
            <c:ext xmlns:c16="http://schemas.microsoft.com/office/drawing/2014/chart" uri="{C3380CC4-5D6E-409C-BE32-E72D297353CC}">
              <c16:uniqueId val="{00000001-29F2-43FF-AF65-761A0418D6BB}"/>
            </c:ext>
          </c:extLst>
        </c:ser>
        <c:ser>
          <c:idx val="2"/>
          <c:order val="2"/>
          <c:tx>
            <c:strRef>
              <c:f>Tulokset!$C$17</c:f>
              <c:strCache>
                <c:ptCount val="1"/>
                <c:pt idx="0">
                  <c:v>Rakentaminen</c:v>
                </c:pt>
              </c:strCache>
            </c:strRef>
          </c:tx>
          <c:spPr>
            <a:solidFill>
              <a:schemeClr val="accent3"/>
            </a:solidFill>
            <a:ln>
              <a:noFill/>
            </a:ln>
            <a:effectLst/>
          </c:spPr>
          <c:invertIfNegative val="0"/>
          <c:cat>
            <c:strRef>
              <c:extLst>
                <c:ext xmlns:c15="http://schemas.microsoft.com/office/drawing/2012/chart" uri="{02D57815-91ED-43cb-92C2-25804820EDAC}">
                  <c15:fullRef>
                    <c15:sqref>Tulokset!$D$6:$E$6</c15:sqref>
                  </c15:fullRef>
                </c:ext>
              </c:extLst>
              <c:f>Tulokset!$E$6</c:f>
              <c:strCache>
                <c:ptCount val="1"/>
                <c:pt idx="0">
                  <c:v>€</c:v>
                </c:pt>
              </c:strCache>
            </c:strRef>
          </c:cat>
          <c:val>
            <c:numRef>
              <c:extLst>
                <c:ext xmlns:c15="http://schemas.microsoft.com/office/drawing/2012/chart" uri="{02D57815-91ED-43cb-92C2-25804820EDAC}">
                  <c15:fullRef>
                    <c15:sqref>Tulokset!$D$17:$E$17</c15:sqref>
                  </c15:fullRef>
                </c:ext>
              </c:extLst>
              <c:f>Tulokset!$E$17</c:f>
              <c:numCache>
                <c:formatCode>#,##0</c:formatCode>
                <c:ptCount val="1"/>
              </c:numCache>
            </c:numRef>
          </c:val>
          <c:extLst>
            <c:ext xmlns:c16="http://schemas.microsoft.com/office/drawing/2014/chart" uri="{C3380CC4-5D6E-409C-BE32-E72D297353CC}">
              <c16:uniqueId val="{00000002-29F2-43FF-AF65-761A0418D6BB}"/>
            </c:ext>
          </c:extLst>
        </c:ser>
        <c:ser>
          <c:idx val="3"/>
          <c:order val="3"/>
          <c:tx>
            <c:strRef>
              <c:f>Tulokset!$C$18</c:f>
              <c:strCache>
                <c:ptCount val="1"/>
                <c:pt idx="0">
                  <c:v>Jätteet</c:v>
                </c:pt>
              </c:strCache>
            </c:strRef>
          </c:tx>
          <c:spPr>
            <a:solidFill>
              <a:schemeClr val="accent4"/>
            </a:solidFill>
            <a:ln>
              <a:noFill/>
            </a:ln>
            <a:effectLst/>
          </c:spPr>
          <c:invertIfNegative val="0"/>
          <c:cat>
            <c:strRef>
              <c:extLst>
                <c:ext xmlns:c15="http://schemas.microsoft.com/office/drawing/2012/chart" uri="{02D57815-91ED-43cb-92C2-25804820EDAC}">
                  <c15:fullRef>
                    <c15:sqref>Tulokset!$D$6:$E$6</c15:sqref>
                  </c15:fullRef>
                </c:ext>
              </c:extLst>
              <c:f>Tulokset!$E$6</c:f>
              <c:strCache>
                <c:ptCount val="1"/>
                <c:pt idx="0">
                  <c:v>€</c:v>
                </c:pt>
              </c:strCache>
            </c:strRef>
          </c:cat>
          <c:val>
            <c:numRef>
              <c:extLst>
                <c:ext xmlns:c15="http://schemas.microsoft.com/office/drawing/2012/chart" uri="{02D57815-91ED-43cb-92C2-25804820EDAC}">
                  <c15:fullRef>
                    <c15:sqref>Tulokset!$D$18:$E$18</c15:sqref>
                  </c15:fullRef>
                </c:ext>
              </c:extLst>
              <c:f>Tulokset!$E$18</c:f>
              <c:numCache>
                <c:formatCode>#,##0</c:formatCode>
                <c:ptCount val="1"/>
              </c:numCache>
            </c:numRef>
          </c:val>
          <c:extLst>
            <c:ext xmlns:c16="http://schemas.microsoft.com/office/drawing/2014/chart" uri="{C3380CC4-5D6E-409C-BE32-E72D297353CC}">
              <c16:uniqueId val="{00000003-29F2-43FF-AF65-761A0418D6BB}"/>
            </c:ext>
          </c:extLst>
        </c:ser>
        <c:dLbls>
          <c:showLegendKey val="0"/>
          <c:showVal val="0"/>
          <c:showCatName val="0"/>
          <c:showSerName val="0"/>
          <c:showPercent val="0"/>
          <c:showBubbleSize val="0"/>
        </c:dLbls>
        <c:gapWidth val="219"/>
        <c:overlap val="-27"/>
        <c:axId val="931949384"/>
        <c:axId val="931946432"/>
      </c:barChart>
      <c:catAx>
        <c:axId val="9319493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31946432"/>
        <c:crosses val="autoZero"/>
        <c:auto val="1"/>
        <c:lblAlgn val="ctr"/>
        <c:lblOffset val="100"/>
        <c:noMultiLvlLbl val="0"/>
      </c:catAx>
      <c:valAx>
        <c:axId val="9319464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319493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19050</xdr:rowOff>
    </xdr:from>
    <xdr:to>
      <xdr:col>1</xdr:col>
      <xdr:colOff>628650</xdr:colOff>
      <xdr:row>3</xdr:row>
      <xdr:rowOff>11334</xdr:rowOff>
    </xdr:to>
    <xdr:pic>
      <xdr:nvPicPr>
        <xdr:cNvPr id="2" name="Picture 1">
          <a:extLst>
            <a:ext uri="{FF2B5EF4-FFF2-40B4-BE49-F238E27FC236}">
              <a16:creationId xmlns:a16="http://schemas.microsoft.com/office/drawing/2014/main" id="{4D1E07CE-5251-4572-9B13-5AF0D6CD0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19050"/>
          <a:ext cx="1428750" cy="514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38100</xdr:colOff>
      <xdr:row>25</xdr:row>
      <xdr:rowOff>130175</xdr:rowOff>
    </xdr:from>
    <xdr:to>
      <xdr:col>8</xdr:col>
      <xdr:colOff>216535</xdr:colOff>
      <xdr:row>44</xdr:row>
      <xdr:rowOff>158750</xdr:rowOff>
    </xdr:to>
    <xdr:pic>
      <xdr:nvPicPr>
        <xdr:cNvPr id="3" name="Picture 2">
          <a:extLst>
            <a:ext uri="{FF2B5EF4-FFF2-40B4-BE49-F238E27FC236}">
              <a16:creationId xmlns:a16="http://schemas.microsoft.com/office/drawing/2014/main" id="{4D0AA299-CC04-4BD5-8EFC-A6FB8E7A3A28}"/>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19150" y="5026025"/>
          <a:ext cx="5645785" cy="3286125"/>
        </a:xfrm>
        <a:prstGeom prst="rect">
          <a:avLst/>
        </a:prstGeom>
        <a:ln>
          <a:solidFill>
            <a:schemeClr val="tx1"/>
          </a:solidFill>
        </a:ln>
      </xdr:spPr>
    </xdr:pic>
    <xdr:clientData/>
  </xdr:twoCellAnchor>
  <xdr:twoCellAnchor editAs="oneCell">
    <xdr:from>
      <xdr:col>9</xdr:col>
      <xdr:colOff>25400</xdr:colOff>
      <xdr:row>25</xdr:row>
      <xdr:rowOff>123824</xdr:rowOff>
    </xdr:from>
    <xdr:to>
      <xdr:col>18</xdr:col>
      <xdr:colOff>133350</xdr:colOff>
      <xdr:row>44</xdr:row>
      <xdr:rowOff>142875</xdr:rowOff>
    </xdr:to>
    <xdr:pic>
      <xdr:nvPicPr>
        <xdr:cNvPr id="4" name="Picture 3">
          <a:extLst>
            <a:ext uri="{FF2B5EF4-FFF2-40B4-BE49-F238E27FC236}">
              <a16:creationId xmlns:a16="http://schemas.microsoft.com/office/drawing/2014/main" id="{9BF88C4D-2372-4D43-B8F1-620D78D617F7}"/>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054850" y="5019674"/>
          <a:ext cx="7137400" cy="3276601"/>
        </a:xfrm>
        <a:prstGeom prst="rect">
          <a:avLst/>
        </a:prstGeom>
        <a:ln>
          <a:solidFill>
            <a:schemeClr val="tx1"/>
          </a:solid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248557</xdr:colOff>
      <xdr:row>0</xdr:row>
      <xdr:rowOff>158750</xdr:rowOff>
    </xdr:from>
    <xdr:to>
      <xdr:col>4</xdr:col>
      <xdr:colOff>362857</xdr:colOff>
      <xdr:row>40</xdr:row>
      <xdr:rowOff>149679</xdr:rowOff>
    </xdr:to>
    <xdr:sp macro="" textlink="">
      <xdr:nvSpPr>
        <xdr:cNvPr id="3" name="Rectangle 2">
          <a:extLst>
            <a:ext uri="{FF2B5EF4-FFF2-40B4-BE49-F238E27FC236}">
              <a16:creationId xmlns:a16="http://schemas.microsoft.com/office/drawing/2014/main" id="{DB53747E-F85D-4459-90B3-7C2DCB71BC71}"/>
            </a:ext>
          </a:extLst>
        </xdr:cNvPr>
        <xdr:cNvSpPr/>
      </xdr:nvSpPr>
      <xdr:spPr>
        <a:xfrm>
          <a:off x="248557" y="158750"/>
          <a:ext cx="3216729" cy="8223250"/>
        </a:xfrm>
        <a:prstGeom prst="rect">
          <a:avLst/>
        </a:prstGeom>
        <a:ln/>
      </xdr:spPr>
      <xdr:style>
        <a:lnRef idx="2">
          <a:schemeClr val="accent1">
            <a:shade val="50000"/>
          </a:schemeClr>
        </a:lnRef>
        <a:fillRef idx="1">
          <a:schemeClr val="accent1"/>
        </a:fillRef>
        <a:effectRef idx="0">
          <a:schemeClr val="accent1"/>
        </a:effectRef>
        <a:fontRef idx="minor">
          <a:schemeClr val="lt1"/>
        </a:fontRef>
      </xdr:style>
      <xdr:txBody>
        <a:bodyPr tIns="90000" bIns="90000" rtlCol="0" anchor="ctr"/>
        <a:lstStyle/>
        <a:p>
          <a:pPr algn="ctr"/>
          <a:r>
            <a:rPr lang="fi-FI" sz="1200" b="1" spc="40" dirty="0">
              <a:solidFill>
                <a:schemeClr val="tx1"/>
              </a:solidFill>
            </a:rPr>
            <a:t>OSIOT</a:t>
          </a:r>
        </a:p>
        <a:p>
          <a:pPr algn="ctr"/>
          <a:r>
            <a:rPr lang="fi-FI" sz="1200" spc="40" dirty="0">
              <a:solidFill>
                <a:schemeClr val="tx1"/>
              </a:solidFill>
            </a:rPr>
            <a:t>Päästölaskuri</a:t>
          </a:r>
          <a:r>
            <a:rPr lang="fi-FI" sz="1200" spc="40" baseline="0" dirty="0">
              <a:solidFill>
                <a:schemeClr val="tx1"/>
              </a:solidFill>
            </a:rPr>
            <a:t> on jaettu seuraaviin osioihin</a:t>
          </a:r>
        </a:p>
        <a:p>
          <a:pPr algn="ctr"/>
          <a:r>
            <a:rPr lang="fi-FI" sz="1200" i="1" spc="40" baseline="0" dirty="0">
              <a:solidFill>
                <a:schemeClr val="tx1"/>
              </a:solidFill>
            </a:rPr>
            <a:t>1. Materiaalien päästöt ja kuljetukset</a:t>
          </a:r>
        </a:p>
        <a:p>
          <a:pPr algn="ctr"/>
          <a:r>
            <a:rPr lang="fi-FI" sz="1200" i="1" spc="40" baseline="0" dirty="0">
              <a:solidFill>
                <a:schemeClr val="tx1"/>
              </a:solidFill>
            </a:rPr>
            <a:t>2. Rakentamisen päästöt</a:t>
          </a:r>
        </a:p>
        <a:p>
          <a:pPr algn="ctr"/>
          <a:r>
            <a:rPr lang="fi-FI" sz="1200" i="1" spc="40" baseline="0" dirty="0">
              <a:solidFill>
                <a:schemeClr val="tx1"/>
              </a:solidFill>
            </a:rPr>
            <a:t>3. Jätteiden käsittely</a:t>
          </a:r>
        </a:p>
        <a:p>
          <a:pPr algn="ctr"/>
          <a:endParaRPr lang="fi-FI" sz="1200" spc="40" baseline="0" dirty="0">
            <a:solidFill>
              <a:schemeClr val="tx1"/>
            </a:solidFill>
          </a:endParaRPr>
        </a:p>
        <a:p>
          <a:pPr algn="ctr"/>
          <a:r>
            <a:rPr lang="fi-FI" sz="1200" b="1" spc="40" baseline="0" dirty="0">
              <a:solidFill>
                <a:schemeClr val="tx1"/>
              </a:solidFill>
            </a:rPr>
            <a:t>LASKURIN KÄYTTÄMINEN</a:t>
          </a:r>
        </a:p>
        <a:p>
          <a:pPr algn="ctr"/>
          <a:r>
            <a:rPr lang="fi-FI" sz="1200" spc="40" baseline="0" dirty="0">
              <a:solidFill>
                <a:schemeClr val="tx1"/>
              </a:solidFill>
            </a:rPr>
            <a:t>Laskurin täyttäminen tehdään värillisiin soluihin. Vaaleista värillisistä soluista avautuu liukuvalikko ja tummiin värillisiin soluihin syötetään määrä valitussa tai annetussa yksikössä. </a:t>
          </a:r>
        </a:p>
        <a:p>
          <a:pPr algn="ctr"/>
          <a:endParaRPr lang="fi-FI" sz="1200" spc="40" baseline="0" dirty="0">
            <a:solidFill>
              <a:schemeClr val="tx1"/>
            </a:solidFill>
          </a:endParaRPr>
        </a:p>
        <a:p>
          <a:pPr algn="ctr"/>
          <a:r>
            <a:rPr lang="fi-FI" sz="1200" spc="40" baseline="0" dirty="0">
              <a:solidFill>
                <a:schemeClr val="tx1"/>
              </a:solidFill>
            </a:rPr>
            <a:t>Mikäli laskuri ei anna tulosta, vaan esim. "#N/A" tai "VALUE!", tarkista ettei:</a:t>
          </a:r>
        </a:p>
        <a:p>
          <a:pPr algn="ctr"/>
          <a:r>
            <a:rPr lang="fi-FI" sz="1200" spc="40" baseline="0" dirty="0">
              <a:solidFill>
                <a:schemeClr val="tx1"/>
              </a:solidFill>
            </a:rPr>
            <a:t>-syöttösolussa ole tekstiä</a:t>
          </a:r>
        </a:p>
        <a:p>
          <a:pPr algn="ctr"/>
          <a:r>
            <a:rPr lang="fi-FI" sz="1200" spc="40" baseline="0" dirty="0">
              <a:solidFill>
                <a:schemeClr val="tx1"/>
              </a:solidFill>
            </a:rPr>
            <a:t>-kaikissa rivin syöttösoluissa on arvo tai valinta tehtynä.</a:t>
          </a:r>
        </a:p>
        <a:p>
          <a:pPr algn="ctr"/>
          <a:endParaRPr lang="fi-FI" sz="1200" spc="40" baseline="0" dirty="0">
            <a:solidFill>
              <a:schemeClr val="tx1"/>
            </a:solidFill>
          </a:endParaRPr>
        </a:p>
        <a:p>
          <a:pPr algn="ctr"/>
          <a:r>
            <a:rPr lang="fi-FI" sz="1200" spc="40" baseline="0" dirty="0">
              <a:solidFill>
                <a:schemeClr val="tx1"/>
              </a:solidFill>
            </a:rPr>
            <a:t>Mikäli haluat lisätä uusia materiaaleja listaan, tee se Päästökertoimet-välilehden kautta 'Omat lisäykset'-osioon.</a:t>
          </a:r>
        </a:p>
        <a:p>
          <a:pPr algn="ctr"/>
          <a:endParaRPr lang="fi-FI" sz="1200" spc="40" baseline="0" dirty="0">
            <a:solidFill>
              <a:schemeClr val="tx1"/>
            </a:solidFill>
          </a:endParaRPr>
        </a:p>
        <a:p>
          <a:pPr algn="ctr"/>
          <a:r>
            <a:rPr lang="fi-FI" sz="1200" spc="40" baseline="0" dirty="0">
              <a:solidFill>
                <a:schemeClr val="tx1"/>
              </a:solidFill>
            </a:rPr>
            <a:t>Voit lisätä omia muistiinpanoja soluihin kommenttena tai muistilappuina.</a:t>
          </a:r>
        </a:p>
        <a:p>
          <a:pPr algn="ctr"/>
          <a:endParaRPr lang="fi-FI" sz="1200" spc="40" baseline="0" dirty="0">
            <a:solidFill>
              <a:schemeClr val="tx1"/>
            </a:solidFill>
          </a:endParaRPr>
        </a:p>
        <a:p>
          <a:pPr algn="ctr"/>
          <a:r>
            <a:rPr lang="fi-FI" sz="1200" b="1" spc="40" baseline="0" dirty="0">
              <a:solidFill>
                <a:schemeClr val="tx1"/>
              </a:solidFill>
            </a:rPr>
            <a:t>SKENAARIOT</a:t>
          </a:r>
        </a:p>
        <a:p>
          <a:pPr algn="ctr"/>
          <a:r>
            <a:rPr lang="fi-FI" sz="1200" spc="40" baseline="0" dirty="0">
              <a:solidFill>
                <a:schemeClr val="tx1"/>
              </a:solidFill>
            </a:rPr>
            <a:t>Halutessaan laskurin käyttäjä voi verrata infrahankkeen toteuttamisen päästöjä kahdella eri skenaariolla. Skenaarioiden avulla käyttäjä voi esimerkiksi verrata uusio- ja neitseellisten materiaalien käyttöä hankkeessa. Laske skenaariot samoin rajauksin, jotta tulokset ovat vertailtavia.</a:t>
          </a:r>
        </a:p>
      </xdr:txBody>
    </xdr:sp>
    <xdr:clientData/>
  </xdr:twoCellAnchor>
  <xdr:twoCellAnchor>
    <xdr:from>
      <xdr:col>0</xdr:col>
      <xdr:colOff>271235</xdr:colOff>
      <xdr:row>40</xdr:row>
      <xdr:rowOff>309789</xdr:rowOff>
    </xdr:from>
    <xdr:to>
      <xdr:col>4</xdr:col>
      <xdr:colOff>347435</xdr:colOff>
      <xdr:row>73</xdr:row>
      <xdr:rowOff>13607</xdr:rowOff>
    </xdr:to>
    <xdr:sp macro="" textlink="">
      <xdr:nvSpPr>
        <xdr:cNvPr id="7" name="Rectangle 6">
          <a:extLst>
            <a:ext uri="{FF2B5EF4-FFF2-40B4-BE49-F238E27FC236}">
              <a16:creationId xmlns:a16="http://schemas.microsoft.com/office/drawing/2014/main" id="{1C02F95E-A4AE-42DA-A79B-6C9C54B544D5}"/>
            </a:ext>
          </a:extLst>
        </xdr:cNvPr>
        <xdr:cNvSpPr/>
      </xdr:nvSpPr>
      <xdr:spPr>
        <a:xfrm>
          <a:off x="271235" y="8542110"/>
          <a:ext cx="3178629" cy="6684283"/>
        </a:xfrm>
        <a:prstGeom prst="rect">
          <a:avLst/>
        </a:prstGeom>
        <a:solidFill>
          <a:schemeClr val="accent2">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tIns="90000" bIns="90000" rtlCol="0" anchor="ctr"/>
        <a:lstStyle/>
        <a:p>
          <a:pPr algn="ctr"/>
          <a:r>
            <a:rPr lang="fi-FI" sz="1200" b="1" spc="40" dirty="0">
              <a:solidFill>
                <a:schemeClr val="tx1"/>
              </a:solidFill>
            </a:rPr>
            <a:t>Energian käyttö:</a:t>
          </a:r>
        </a:p>
        <a:p>
          <a:pPr algn="ctr"/>
          <a:r>
            <a:rPr lang="fi-FI" sz="1200" spc="40" dirty="0">
              <a:solidFill>
                <a:schemeClr val="tx1"/>
              </a:solidFill>
            </a:rPr>
            <a:t>Kuluvan</a:t>
          </a:r>
          <a:r>
            <a:rPr lang="fi-FI" sz="1200" spc="40" baseline="0" dirty="0">
              <a:solidFill>
                <a:schemeClr val="tx1"/>
              </a:solidFill>
            </a:rPr>
            <a:t> energian määrä voidaan tässä laskurissa laskea tavanomaisille polttoaineille kolmella tavalla. Vältäthän tuplalaskentaa ja laske päästöt vain kerran. Energiankulutus suositellaan laskettavaksi tässä järjestyksessä:</a:t>
          </a:r>
        </a:p>
        <a:p>
          <a:pPr algn="ctr"/>
          <a:r>
            <a:rPr lang="fi-FI" sz="1200" b="1" spc="40" baseline="0" dirty="0">
              <a:solidFill>
                <a:schemeClr val="tx1"/>
              </a:solidFill>
            </a:rPr>
            <a:t>*, 1. vaihtoehto: </a:t>
          </a:r>
          <a:r>
            <a:rPr lang="fi-FI" sz="1200" spc="40" baseline="0" dirty="0">
              <a:solidFill>
                <a:schemeClr val="tx1"/>
              </a:solidFill>
            </a:rPr>
            <a:t>Polttoaineen tai kulutetun sähkön määrä. Tällä tavalla saadaan tarkin tulos.</a:t>
          </a:r>
        </a:p>
        <a:p>
          <a:pPr algn="ctr"/>
          <a:r>
            <a:rPr lang="fi-FI" sz="1200" b="1" spc="40" baseline="0" dirty="0">
              <a:solidFill>
                <a:schemeClr val="tx1"/>
              </a:solidFill>
            </a:rPr>
            <a:t>**, 2. vaihtoehto: </a:t>
          </a:r>
          <a:r>
            <a:rPr lang="fi-FI" sz="1200" spc="40" baseline="0" dirty="0">
              <a:solidFill>
                <a:schemeClr val="tx1"/>
              </a:solidFill>
            </a:rPr>
            <a:t>Työkoneiden kulutus tai tuntimäärä. Käytä litrakohtaista tietoa per työkone tai tuntikohtaista tietoa per työkone mikäli tarkkoja polttoainemääriä ei ole saatavissa.</a:t>
          </a:r>
        </a:p>
        <a:p>
          <a:pPr algn="ctr"/>
          <a:r>
            <a:rPr lang="fi-FI" sz="1200" b="1" spc="40" baseline="0" dirty="0">
              <a:solidFill>
                <a:schemeClr val="tx1"/>
              </a:solidFill>
            </a:rPr>
            <a:t>***, 3. vaihtoehto: </a:t>
          </a:r>
          <a:r>
            <a:rPr lang="fi-FI" sz="1200" spc="40" baseline="0" dirty="0">
              <a:solidFill>
                <a:schemeClr val="tx1"/>
              </a:solidFill>
            </a:rPr>
            <a:t>Käytetyt työvaiheet. Tässä tapauksessa päästöt lasketaan työvaiheen tunti- ja materiaaliarvion ja käytetyn materiaalimäärän perusteella, mikä tuo laskentaan epävarmuutta.</a:t>
          </a:r>
        </a:p>
        <a:p>
          <a:pPr algn="ctr"/>
          <a:endParaRPr lang="fi-FI" sz="1200" spc="40" baseline="0" dirty="0">
            <a:solidFill>
              <a:schemeClr val="tx1"/>
            </a:solidFill>
          </a:endParaRPr>
        </a:p>
        <a:p>
          <a:pPr algn="ctr"/>
          <a:r>
            <a:rPr lang="fi-FI" sz="1200" b="1" spc="40" baseline="0" dirty="0">
              <a:solidFill>
                <a:schemeClr val="tx1"/>
              </a:solidFill>
            </a:rPr>
            <a:t>Oma sähköyhtiö:</a:t>
          </a:r>
        </a:p>
        <a:p>
          <a:pPr algn="ctr"/>
          <a:r>
            <a:rPr lang="fi-FI" sz="1200" spc="40" baseline="0" dirty="0">
              <a:solidFill>
                <a:schemeClr val="tx1"/>
              </a:solidFill>
            </a:rPr>
            <a:t>Mikäli käytössä on oma sähköyhtiö, selvitä sähkön päästökerroin sähkön myyjältä tai heidän nettisivuiltaan ja lisää se "Päästökertoimet"-välilehdelle "oma energiayhtiö"-kohtaan.</a:t>
          </a:r>
          <a:endParaRPr lang="fi-FI" sz="1200" spc="40" dirty="0">
            <a:solidFill>
              <a:schemeClr val="tx1"/>
            </a:solidFill>
          </a:endParaRPr>
        </a:p>
      </xdr:txBody>
    </xdr:sp>
    <xdr:clientData/>
  </xdr:twoCellAnchor>
  <xdr:twoCellAnchor>
    <xdr:from>
      <xdr:col>15</xdr:col>
      <xdr:colOff>492125</xdr:colOff>
      <xdr:row>2</xdr:row>
      <xdr:rowOff>63500</xdr:rowOff>
    </xdr:from>
    <xdr:to>
      <xdr:col>18</xdr:col>
      <xdr:colOff>673100</xdr:colOff>
      <xdr:row>38</xdr:row>
      <xdr:rowOff>47625</xdr:rowOff>
    </xdr:to>
    <xdr:sp macro="" textlink="">
      <xdr:nvSpPr>
        <xdr:cNvPr id="9" name="Rectangle 8">
          <a:extLst>
            <a:ext uri="{FF2B5EF4-FFF2-40B4-BE49-F238E27FC236}">
              <a16:creationId xmlns:a16="http://schemas.microsoft.com/office/drawing/2014/main" id="{3993B3A8-BBCF-4EFE-9F7E-7C42A27DB8D1}"/>
            </a:ext>
          </a:extLst>
        </xdr:cNvPr>
        <xdr:cNvSpPr/>
      </xdr:nvSpPr>
      <xdr:spPr>
        <a:xfrm>
          <a:off x="23622000" y="635000"/>
          <a:ext cx="3228975" cy="7572375"/>
        </a:xfrm>
        <a:prstGeom prst="rect">
          <a:avLst/>
        </a:prstGeom>
        <a:ln/>
      </xdr:spPr>
      <xdr:style>
        <a:lnRef idx="2">
          <a:schemeClr val="accent1">
            <a:shade val="50000"/>
          </a:schemeClr>
        </a:lnRef>
        <a:fillRef idx="1">
          <a:schemeClr val="accent1"/>
        </a:fillRef>
        <a:effectRef idx="0">
          <a:schemeClr val="accent1"/>
        </a:effectRef>
        <a:fontRef idx="minor">
          <a:schemeClr val="lt1"/>
        </a:fontRef>
      </xdr:style>
      <xdr:txBody>
        <a:bodyPr tIns="90000" bIns="90000" rtlCol="0" anchor="ctr"/>
        <a:lstStyle/>
        <a:p>
          <a:pPr algn="ctr"/>
          <a:r>
            <a:rPr lang="fi-FI" sz="1200" b="1" spc="40" baseline="0" dirty="0">
              <a:solidFill>
                <a:schemeClr val="tx1"/>
              </a:solidFill>
            </a:rPr>
            <a:t>Kustannuslaskenta</a:t>
          </a:r>
        </a:p>
        <a:p>
          <a:pPr algn="ctr"/>
          <a:endParaRPr lang="fi-FI" sz="1200" b="1" spc="40" baseline="0" dirty="0">
            <a:solidFill>
              <a:schemeClr val="tx1"/>
            </a:solidFill>
          </a:endParaRPr>
        </a:p>
        <a:p>
          <a:pPr algn="ctr"/>
          <a:r>
            <a:rPr lang="fi-FI" sz="1200" b="0" spc="40" baseline="0" dirty="0">
              <a:solidFill>
                <a:schemeClr val="tx1"/>
              </a:solidFill>
            </a:rPr>
            <a:t>Kustannuslaskentaa varten tarvitaan tiedot:</a:t>
          </a:r>
        </a:p>
        <a:p>
          <a:pPr algn="ctr"/>
          <a:r>
            <a:rPr lang="fi-FI" sz="1200" b="0" spc="40" baseline="0" dirty="0">
              <a:solidFill>
                <a:schemeClr val="tx1"/>
              </a:solidFill>
            </a:rPr>
            <a:t>-Kuljetussäteestä (30/60 km, valitse lähin)</a:t>
          </a:r>
        </a:p>
        <a:p>
          <a:pPr algn="ctr"/>
          <a:r>
            <a:rPr lang="fi-FI" sz="1200" b="0" spc="40" baseline="0" dirty="0">
              <a:solidFill>
                <a:schemeClr val="tx1"/>
              </a:solidFill>
            </a:rPr>
            <a:t>-Kuljetettavasta materiaalin määrästä vuodessa (30 000/60 000 t/vuosi, valitse lähin).</a:t>
          </a:r>
        </a:p>
        <a:p>
          <a:pPr algn="ctr"/>
          <a:endParaRPr lang="fi-FI" sz="1200" b="0" spc="40" baseline="0" dirty="0">
            <a:solidFill>
              <a:schemeClr val="tx1"/>
            </a:solidFill>
          </a:endParaRPr>
        </a:p>
        <a:p>
          <a:pPr algn="ctr"/>
          <a:r>
            <a:rPr lang="fi-FI" sz="1200" b="0" spc="40" baseline="0" dirty="0">
              <a:solidFill>
                <a:schemeClr val="tx1"/>
              </a:solidFill>
            </a:rPr>
            <a:t>Materiaalien ja kuljetusten kustannukset ovat muokattavissa omien tarjouskyselyiden pohjalta "Kustannukset"-välilehdellä. Laskurin pohjalla olevat hinnat ovat suuntaa-antavia arvioita. </a:t>
          </a:r>
          <a:r>
            <a:rPr lang="fi-FI" sz="1200" b="1" spc="40" baseline="0" dirty="0">
              <a:solidFill>
                <a:schemeClr val="tx1"/>
              </a:solidFill>
            </a:rPr>
            <a:t>Kuljetuksen kustannusarviot ovat laskurissa valmiina vain diesel-ajoneuvoille.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395772</xdr:colOff>
      <xdr:row>19</xdr:row>
      <xdr:rowOff>166331</xdr:rowOff>
    </xdr:from>
    <xdr:to>
      <xdr:col>3</xdr:col>
      <xdr:colOff>642055</xdr:colOff>
      <xdr:row>34</xdr:row>
      <xdr:rowOff>134055</xdr:rowOff>
    </xdr:to>
    <xdr:graphicFrame macro="">
      <xdr:nvGraphicFramePr>
        <xdr:cNvPr id="4" name="Chart 3">
          <a:extLst>
            <a:ext uri="{FF2B5EF4-FFF2-40B4-BE49-F238E27FC236}">
              <a16:creationId xmlns:a16="http://schemas.microsoft.com/office/drawing/2014/main" id="{39C839BD-EF00-494E-85AE-D0090A0A2C6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440265</xdr:colOff>
      <xdr:row>35</xdr:row>
      <xdr:rowOff>152135</xdr:rowOff>
    </xdr:from>
    <xdr:to>
      <xdr:col>3</xdr:col>
      <xdr:colOff>613833</xdr:colOff>
      <xdr:row>51</xdr:row>
      <xdr:rowOff>37835</xdr:rowOff>
    </xdr:to>
    <xdr:graphicFrame macro="">
      <xdr:nvGraphicFramePr>
        <xdr:cNvPr id="5" name="Chart 4">
          <a:extLst>
            <a:ext uri="{FF2B5EF4-FFF2-40B4-BE49-F238E27FC236}">
              <a16:creationId xmlns:a16="http://schemas.microsoft.com/office/drawing/2014/main" id="{5F66DE59-D0B6-4523-BDB5-182D0EBF31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523875</xdr:colOff>
      <xdr:row>19</xdr:row>
      <xdr:rowOff>123296</xdr:rowOff>
    </xdr:from>
    <xdr:to>
      <xdr:col>11</xdr:col>
      <xdr:colOff>527049</xdr:colOff>
      <xdr:row>35</xdr:row>
      <xdr:rowOff>26988</xdr:rowOff>
    </xdr:to>
    <xdr:graphicFrame macro="">
      <xdr:nvGraphicFramePr>
        <xdr:cNvPr id="8" name="Chart 7">
          <a:extLst>
            <a:ext uri="{FF2B5EF4-FFF2-40B4-BE49-F238E27FC236}">
              <a16:creationId xmlns:a16="http://schemas.microsoft.com/office/drawing/2014/main" id="{0B2D7A7B-E7B1-4D4B-8DFA-1C30BA685D6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547687</xdr:colOff>
      <xdr:row>36</xdr:row>
      <xdr:rowOff>11907</xdr:rowOff>
    </xdr:from>
    <xdr:to>
      <xdr:col>11</xdr:col>
      <xdr:colOff>550862</xdr:colOff>
      <xdr:row>51</xdr:row>
      <xdr:rowOff>73555</xdr:rowOff>
    </xdr:to>
    <xdr:graphicFrame macro="">
      <xdr:nvGraphicFramePr>
        <xdr:cNvPr id="9" name="Chart 8">
          <a:extLst>
            <a:ext uri="{FF2B5EF4-FFF2-40B4-BE49-F238E27FC236}">
              <a16:creationId xmlns:a16="http://schemas.microsoft.com/office/drawing/2014/main" id="{3258DC73-FC09-49FE-AE87-DD16CE2529E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219339</xdr:colOff>
      <xdr:row>65</xdr:row>
      <xdr:rowOff>65881</xdr:rowOff>
    </xdr:from>
    <xdr:to>
      <xdr:col>6</xdr:col>
      <xdr:colOff>295540</xdr:colOff>
      <xdr:row>83</xdr:row>
      <xdr:rowOff>0</xdr:rowOff>
    </xdr:to>
    <xdr:graphicFrame macro="">
      <xdr:nvGraphicFramePr>
        <xdr:cNvPr id="2" name="Chart 1">
          <a:extLst>
            <a:ext uri="{FF2B5EF4-FFF2-40B4-BE49-F238E27FC236}">
              <a16:creationId xmlns:a16="http://schemas.microsoft.com/office/drawing/2014/main" id="{74C83238-4145-4D1A-AED4-CA8D79D726D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542926</xdr:colOff>
      <xdr:row>65</xdr:row>
      <xdr:rowOff>64294</xdr:rowOff>
    </xdr:from>
    <xdr:to>
      <xdr:col>11</xdr:col>
      <xdr:colOff>639763</xdr:colOff>
      <xdr:row>83</xdr:row>
      <xdr:rowOff>0</xdr:rowOff>
    </xdr:to>
    <xdr:graphicFrame macro="">
      <xdr:nvGraphicFramePr>
        <xdr:cNvPr id="10" name="Chart 9">
          <a:extLst>
            <a:ext uri="{FF2B5EF4-FFF2-40B4-BE49-F238E27FC236}">
              <a16:creationId xmlns:a16="http://schemas.microsoft.com/office/drawing/2014/main" id="{ED4FF9DD-8C08-4F90-BDDB-72016B05FC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xdr:col>
      <xdr:colOff>762000</xdr:colOff>
      <xdr:row>20</xdr:row>
      <xdr:rowOff>0</xdr:rowOff>
    </xdr:from>
    <xdr:to>
      <xdr:col>5</xdr:col>
      <xdr:colOff>909506</xdr:colOff>
      <xdr:row>34</xdr:row>
      <xdr:rowOff>137057</xdr:rowOff>
    </xdr:to>
    <xdr:graphicFrame macro="">
      <xdr:nvGraphicFramePr>
        <xdr:cNvPr id="11" name="Chart 10">
          <a:extLst>
            <a:ext uri="{FF2B5EF4-FFF2-40B4-BE49-F238E27FC236}">
              <a16:creationId xmlns:a16="http://schemas.microsoft.com/office/drawing/2014/main" id="{CC6DCE8D-99AA-479C-A02D-50B74C7D04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751417</xdr:colOff>
      <xdr:row>35</xdr:row>
      <xdr:rowOff>148167</xdr:rowOff>
    </xdr:from>
    <xdr:to>
      <xdr:col>5</xdr:col>
      <xdr:colOff>829735</xdr:colOff>
      <xdr:row>51</xdr:row>
      <xdr:rowOff>37042</xdr:rowOff>
    </xdr:to>
    <xdr:graphicFrame macro="">
      <xdr:nvGraphicFramePr>
        <xdr:cNvPr id="12" name="Chart 11">
          <a:extLst>
            <a:ext uri="{FF2B5EF4-FFF2-40B4-BE49-F238E27FC236}">
              <a16:creationId xmlns:a16="http://schemas.microsoft.com/office/drawing/2014/main" id="{5BE9BC25-66C4-44EC-9733-3EA307EEFE5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12</xdr:col>
      <xdr:colOff>26874</xdr:colOff>
      <xdr:row>29</xdr:row>
      <xdr:rowOff>36625</xdr:rowOff>
    </xdr:from>
    <xdr:to>
      <xdr:col>17</xdr:col>
      <xdr:colOff>38099</xdr:colOff>
      <xdr:row>33</xdr:row>
      <xdr:rowOff>57150</xdr:rowOff>
    </xdr:to>
    <xdr:sp macro="" textlink="">
      <xdr:nvSpPr>
        <xdr:cNvPr id="3" name="Rectangle 2">
          <a:extLst>
            <a:ext uri="{FF2B5EF4-FFF2-40B4-BE49-F238E27FC236}">
              <a16:creationId xmlns:a16="http://schemas.microsoft.com/office/drawing/2014/main" id="{F7FEEFBD-D948-4DC4-91E5-49C37FA56874}"/>
            </a:ext>
          </a:extLst>
        </xdr:cNvPr>
        <xdr:cNvSpPr/>
      </xdr:nvSpPr>
      <xdr:spPr>
        <a:xfrm>
          <a:off x="16771824" y="22344175"/>
          <a:ext cx="12241325" cy="915875"/>
        </a:xfrm>
        <a:prstGeom prst="rect">
          <a:avLst/>
        </a:prstGeom>
        <a:solidFill>
          <a:schemeClr val="accen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tIns="90000" bIns="90000" rtlCol="0" anchor="ctr"/>
        <a:lstStyle/>
        <a:p>
          <a:pPr algn="ctr"/>
          <a:r>
            <a:rPr lang="fi-FI" sz="1200" spc="40" dirty="0">
              <a:solidFill>
                <a:schemeClr val="tx1"/>
              </a:solidFill>
            </a:rPr>
            <a:t>Huom!</a:t>
          </a:r>
          <a:r>
            <a:rPr lang="fi-FI" sz="1200" spc="40" baseline="0" dirty="0">
              <a:solidFill>
                <a:schemeClr val="tx1"/>
              </a:solidFill>
            </a:rPr>
            <a:t> Vaihtoehtoisten polttoaineiden päästökertoimet ovat laskennallisia. Kasettiauton arvot on johdettu maansiirtoauton kertoimista lineaarisesti.</a:t>
          </a:r>
          <a:endParaRPr lang="fi-FI" sz="1200" spc="40" dirty="0">
            <a:solidFill>
              <a:schemeClr val="tx1"/>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40821</xdr:colOff>
      <xdr:row>4</xdr:row>
      <xdr:rowOff>74386</xdr:rowOff>
    </xdr:from>
    <xdr:to>
      <xdr:col>6</xdr:col>
      <xdr:colOff>1074964</xdr:colOff>
      <xdr:row>11</xdr:row>
      <xdr:rowOff>149679</xdr:rowOff>
    </xdr:to>
    <xdr:sp macro="" textlink="">
      <xdr:nvSpPr>
        <xdr:cNvPr id="3" name="Rectangle 2">
          <a:extLst>
            <a:ext uri="{FF2B5EF4-FFF2-40B4-BE49-F238E27FC236}">
              <a16:creationId xmlns:a16="http://schemas.microsoft.com/office/drawing/2014/main" id="{401C7A86-8EFD-42F4-A784-312DF709FE13}"/>
            </a:ext>
          </a:extLst>
        </xdr:cNvPr>
        <xdr:cNvSpPr/>
      </xdr:nvSpPr>
      <xdr:spPr>
        <a:xfrm>
          <a:off x="857250" y="849993"/>
          <a:ext cx="8069035" cy="1313543"/>
        </a:xfrm>
        <a:prstGeom prst="rect">
          <a:avLst/>
        </a:prstGeom>
        <a:solidFill>
          <a:schemeClr val="accent4">
            <a:lumMod val="40000"/>
            <a:lumOff val="60000"/>
          </a:schemeClr>
        </a:solidFill>
        <a:ln>
          <a:solidFill>
            <a:schemeClr val="accent4">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tIns="90000" bIns="90000" rtlCol="0" anchor="ctr"/>
        <a:lstStyle/>
        <a:p>
          <a:pPr algn="ctr"/>
          <a:r>
            <a:rPr lang="fi-FI" sz="1200" spc="40" dirty="0">
              <a:solidFill>
                <a:schemeClr val="tx1"/>
              </a:solidFill>
            </a:rPr>
            <a:t>Kustannuslaskennan</a:t>
          </a:r>
          <a:r>
            <a:rPr lang="fi-FI" sz="1200" spc="40" baseline="0" dirty="0">
              <a:solidFill>
                <a:schemeClr val="tx1"/>
              </a:solidFill>
            </a:rPr>
            <a:t> lähtöarviot löytyvät tältä sivulta. Mikäli materiaalien tai kuljetuksien oikea hinta on tiedossa, muokkaa hinta vihreään soluun oikean materiaalin/kuljetusvälineen kohdalle oikeassa yksikössä.</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617312</xdr:colOff>
      <xdr:row>1</xdr:row>
      <xdr:rowOff>16784</xdr:rowOff>
    </xdr:from>
    <xdr:to>
      <xdr:col>9</xdr:col>
      <xdr:colOff>573315</xdr:colOff>
      <xdr:row>5</xdr:row>
      <xdr:rowOff>63500</xdr:rowOff>
    </xdr:to>
    <xdr:sp macro="" textlink="">
      <xdr:nvSpPr>
        <xdr:cNvPr id="4" name="Rectangle 3">
          <a:extLst>
            <a:ext uri="{FF2B5EF4-FFF2-40B4-BE49-F238E27FC236}">
              <a16:creationId xmlns:a16="http://schemas.microsoft.com/office/drawing/2014/main" id="{822E5AB2-4434-49BF-B8E5-CC5A9E2E79A7}"/>
            </a:ext>
          </a:extLst>
        </xdr:cNvPr>
        <xdr:cNvSpPr/>
      </xdr:nvSpPr>
      <xdr:spPr>
        <a:xfrm>
          <a:off x="4427312" y="191409"/>
          <a:ext cx="6702878" cy="808716"/>
        </a:xfrm>
        <a:prstGeom prst="rect">
          <a:avLst/>
        </a:prstGeom>
        <a:solidFill>
          <a:schemeClr val="accen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tIns="90000" bIns="90000" rtlCol="0" anchor="ctr"/>
        <a:lstStyle/>
        <a:p>
          <a:pPr algn="ctr"/>
          <a:r>
            <a:rPr lang="fi-FI" sz="1200" spc="40" dirty="0">
              <a:solidFill>
                <a:schemeClr val="tx1"/>
              </a:solidFill>
            </a:rPr>
            <a:t>HUOM!</a:t>
          </a:r>
          <a:r>
            <a:rPr lang="fi-FI" sz="1200" spc="40" baseline="0" dirty="0">
              <a:solidFill>
                <a:schemeClr val="tx1"/>
              </a:solidFill>
            </a:rPr>
            <a:t> Tällä välilehdellä on laskentaa varten apulukuja. Tämä sivu on avonnainen, jotta käyttäjä näkee laskennan kokonaisuudessaan, mutta tätä sivua ei ole tarve käyttää. Jos käytät tätä välilehteä, tee muokkaus varoen! Tarkista miten muokkaukset vaikuttavat koko työkalussa tapahtuvaan laskentaan.</a:t>
          </a:r>
          <a:endParaRPr lang="fi-FI" sz="1200" spc="40" dirty="0">
            <a:solidFill>
              <a:schemeClr val="tx1"/>
            </a:solidFill>
          </a:endParaRPr>
        </a:p>
      </xdr:txBody>
    </xdr:sp>
    <xdr:clientData/>
  </xdr:twoCellAnchor>
</xdr:wsDr>
</file>

<file path=xl/theme/theme1.xml><?xml version="1.0" encoding="utf-8"?>
<a:theme xmlns:a="http://schemas.openxmlformats.org/drawingml/2006/main" name="AFRY">
  <a:themeElements>
    <a:clrScheme name="AFRY Colors">
      <a:dk1>
        <a:srgbClr val="000000"/>
      </a:dk1>
      <a:lt1>
        <a:srgbClr val="FFFFFF"/>
      </a:lt1>
      <a:dk2>
        <a:srgbClr val="505050"/>
      </a:dk2>
      <a:lt2>
        <a:srgbClr val="D0D0D0"/>
      </a:lt2>
      <a:accent1>
        <a:srgbClr val="E9E6E0"/>
      </a:accent1>
      <a:accent2>
        <a:srgbClr val="504030"/>
      </a:accent2>
      <a:accent3>
        <a:srgbClr val="405070"/>
      </a:accent3>
      <a:accent4>
        <a:srgbClr val="405040"/>
      </a:accent4>
      <a:accent5>
        <a:srgbClr val="F3FFAF"/>
      </a:accent5>
      <a:accent6>
        <a:srgbClr val="F8F8F8"/>
      </a:accent6>
      <a:hlink>
        <a:srgbClr val="7E7E7E"/>
      </a:hlink>
      <a:folHlink>
        <a:srgbClr val="F3FFAF"/>
      </a:folHlink>
    </a:clrScheme>
    <a:fontScheme name="AFRY">
      <a:majorFont>
        <a:latin typeface="Verdana"/>
        <a:ea typeface=""/>
        <a:cs typeface=""/>
      </a:majorFont>
      <a:minorFont>
        <a:latin typeface="Verdana"/>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chemeClr val="accent1"/>
        </a:solidFill>
        <a:ln>
          <a:noFill/>
        </a:ln>
      </a:spPr>
      <a:bodyPr tIns="90000" bIns="90000" rtlCol="0" anchor="ctr"/>
      <a:lstStyle>
        <a:defPPr algn="ctr">
          <a:defRPr sz="1200" spc="40" dirty="0">
            <a:solidFill>
              <a:schemeClr val="tx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w="19050"/>
      </a:spPr>
      <a:bodyPr/>
      <a:lstStyle/>
      <a:style>
        <a:lnRef idx="1">
          <a:schemeClr val="accent1"/>
        </a:lnRef>
        <a:fillRef idx="0">
          <a:schemeClr val="accent1"/>
        </a:fillRef>
        <a:effectRef idx="0">
          <a:schemeClr val="accent1"/>
        </a:effectRef>
        <a:fontRef idx="minor">
          <a:schemeClr val="tx1"/>
        </a:fontRef>
      </a:style>
    </a:lnDef>
    <a:txDef>
      <a:spPr>
        <a:noFill/>
      </a:spPr>
      <a:bodyPr wrap="square" lIns="0" tIns="0" rIns="0" bIns="0" rtlCol="0">
        <a:spAutoFit/>
      </a:bodyPr>
      <a:lstStyle>
        <a:defPPr algn="l">
          <a:defRPr sz="1200" spc="40" dirty="0"/>
        </a:defPPr>
      </a:lstStyle>
    </a:txDef>
  </a:objectDefaults>
  <a:extraClrSchemeLst/>
  <a:custClrLst>
    <a:custClr>
      <a:srgbClr val="323232"/>
    </a:custClr>
    <a:custClr>
      <a:srgbClr val="505050"/>
    </a:custClr>
    <a:custClr>
      <a:srgbClr val="7E7E7E"/>
    </a:custClr>
    <a:custClr>
      <a:srgbClr val="B2B2B2"/>
    </a:custClr>
    <a:custClr>
      <a:srgbClr val="D0D0D0"/>
    </a:custClr>
    <a:custClr>
      <a:srgbClr val="F8F8F8"/>
    </a:custClr>
    <a:custClr>
      <a:srgbClr val="E9E6E0"/>
    </a:custClr>
    <a:custClr>
      <a:srgbClr val="F3FFAF"/>
    </a:custClr>
    <a:custClr>
      <a:srgbClr val="FFFFFF"/>
    </a:custClr>
    <a:custClr>
      <a:srgbClr val="FFFFFF"/>
    </a:custClr>
    <a:custClr>
      <a:srgbClr val="405040"/>
    </a:custClr>
    <a:custClr>
      <a:srgbClr val="707C70"/>
    </a:custClr>
    <a:custClr>
      <a:srgbClr val="A0A8A0"/>
    </a:custClr>
    <a:custClr>
      <a:srgbClr val="CFD3CF"/>
    </a:custClr>
    <a:custClr>
      <a:srgbClr val="FFFFFF"/>
    </a:custClr>
    <a:custClr>
      <a:srgbClr val="FFFFFF"/>
    </a:custClr>
    <a:custClr>
      <a:srgbClr val="FFFFFF"/>
    </a:custClr>
    <a:custClr>
      <a:srgbClr val="FFFFFF"/>
    </a:custClr>
    <a:custClr>
      <a:srgbClr val="FFFFFF"/>
    </a:custClr>
    <a:custClr>
      <a:srgbClr val="FFFFFF"/>
    </a:custClr>
    <a:custClr>
      <a:srgbClr val="405070"/>
    </a:custClr>
    <a:custClr>
      <a:srgbClr val="707C94"/>
    </a:custClr>
    <a:custClr>
      <a:srgbClr val="A0A8B8"/>
    </a:custClr>
    <a:custClr>
      <a:srgbClr val="CFD3DB"/>
    </a:custClr>
    <a:custClr>
      <a:srgbClr val="FFFFFF"/>
    </a:custClr>
    <a:custClr>
      <a:srgbClr val="FFFFFF"/>
    </a:custClr>
    <a:custClr>
      <a:srgbClr val="FFFFFF"/>
    </a:custClr>
    <a:custClr>
      <a:srgbClr val="FFFFFF"/>
    </a:custClr>
    <a:custClr>
      <a:srgbClr val="FFFFFF"/>
    </a:custClr>
    <a:custClr>
      <a:srgbClr val="FFFFFF"/>
    </a:custClr>
    <a:custClr>
      <a:srgbClr val="504030"/>
    </a:custClr>
    <a:custClr>
      <a:srgbClr val="7C7064"/>
    </a:custClr>
    <a:custClr>
      <a:srgbClr val="A8A098"/>
    </a:custClr>
    <a:custClr>
      <a:srgbClr val="D3CFCB"/>
    </a:custClr>
    <a:custClr>
      <a:srgbClr val="FFFFFF"/>
    </a:custClr>
    <a:custClr>
      <a:srgbClr val="FFFFFF"/>
    </a:custClr>
    <a:custClr>
      <a:srgbClr val="FFFFFF"/>
    </a:custClr>
    <a:custClr>
      <a:srgbClr val="FFFFFF"/>
    </a:custClr>
    <a:custClr>
      <a:srgbClr val="FFFFFF"/>
    </a:custClr>
    <a:custClr>
      <a:srgbClr val="FFFFFF"/>
    </a:custClr>
  </a:custClrLst>
  <a:extLst>
    <a:ext uri="{05A4C25C-085E-4340-85A3-A5531E510DB2}">
      <thm15:themeFamily xmlns:thm15="http://schemas.microsoft.com/office/thememl/2012/main" name="AFRY" id="{220B2277-3402-45CE-9F05-E08FCF9F5BF2}" vid="{BD854E27-A12A-42CF-9D36-68E3571147BB}"/>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www.rakennusteollisuus.fi/globalassets/infra/tietoa-ja-tilastoja/ohjeita-ja-opastusta/pientalon_maarakennustyot.pdf"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FC53D-B31B-427C-A223-695DDF835F60}">
  <sheetPr>
    <tabColor theme="4" tint="-9.9978637043366805E-2"/>
  </sheetPr>
  <dimension ref="B3:R66"/>
  <sheetViews>
    <sheetView tabSelected="1" zoomScaleNormal="100" workbookViewId="0">
      <selection activeCell="C23" sqref="C23"/>
    </sheetView>
  </sheetViews>
  <sheetFormatPr defaultColWidth="8.78515625" defaultRowHeight="13.5" x14ac:dyDescent="0.25"/>
  <cols>
    <col min="1" max="16384" width="8.78515625" style="1"/>
  </cols>
  <sheetData>
    <row r="3" spans="2:18" x14ac:dyDescent="0.25">
      <c r="D3" s="172"/>
    </row>
    <row r="5" spans="2:18" ht="19" thickBot="1" x14ac:dyDescent="0.4">
      <c r="B5" s="2" t="s">
        <v>370</v>
      </c>
      <c r="C5" s="2"/>
      <c r="D5" s="2"/>
      <c r="E5" s="2"/>
      <c r="F5" s="2"/>
      <c r="G5" s="2"/>
      <c r="H5" s="2"/>
      <c r="I5" s="2"/>
    </row>
    <row r="6" spans="2:18" ht="14" thickTop="1" x14ac:dyDescent="0.25"/>
    <row r="7" spans="2:18" x14ac:dyDescent="0.25">
      <c r="B7" s="167" t="s">
        <v>0</v>
      </c>
      <c r="C7" s="178"/>
      <c r="D7" s="178"/>
      <c r="E7" s="178"/>
      <c r="F7" s="178"/>
      <c r="G7" s="178"/>
      <c r="H7" s="178"/>
      <c r="I7" s="178"/>
      <c r="J7" s="178"/>
      <c r="K7" s="178"/>
      <c r="L7" s="178"/>
      <c r="M7" s="178"/>
      <c r="N7" s="178"/>
      <c r="O7" s="178"/>
      <c r="P7" s="178"/>
      <c r="Q7" s="178"/>
      <c r="R7" s="179"/>
    </row>
    <row r="8" spans="2:18" ht="34" customHeight="1" x14ac:dyDescent="0.25">
      <c r="B8" s="321" t="s">
        <v>369</v>
      </c>
      <c r="C8" s="322"/>
      <c r="D8" s="322"/>
      <c r="E8" s="322"/>
      <c r="F8" s="322"/>
      <c r="G8" s="322"/>
      <c r="H8" s="322"/>
      <c r="I8" s="322"/>
      <c r="J8" s="322"/>
      <c r="K8" s="322"/>
      <c r="L8" s="322"/>
      <c r="M8" s="322"/>
      <c r="N8" s="322"/>
      <c r="O8" s="322"/>
      <c r="P8" s="322"/>
      <c r="Q8" s="322"/>
      <c r="R8" s="323"/>
    </row>
    <row r="9" spans="2:18" ht="16.5" customHeight="1" x14ac:dyDescent="0.25">
      <c r="B9" s="185" t="s">
        <v>1</v>
      </c>
      <c r="C9" s="180"/>
      <c r="D9" s="180"/>
      <c r="E9" s="180"/>
      <c r="F9" s="180"/>
      <c r="G9" s="180"/>
      <c r="H9" s="180"/>
      <c r="I9" s="180"/>
      <c r="J9" s="180"/>
      <c r="K9" s="180"/>
      <c r="L9" s="180"/>
      <c r="M9" s="180"/>
      <c r="N9" s="180"/>
      <c r="O9" s="180"/>
      <c r="P9" s="180"/>
      <c r="Q9" s="180"/>
      <c r="R9" s="181"/>
    </row>
    <row r="10" spans="2:18" ht="32.5" customHeight="1" x14ac:dyDescent="0.25">
      <c r="B10" s="324" t="s">
        <v>371</v>
      </c>
      <c r="C10" s="325"/>
      <c r="D10" s="325"/>
      <c r="E10" s="325"/>
      <c r="F10" s="325"/>
      <c r="G10" s="325"/>
      <c r="H10" s="325"/>
      <c r="I10" s="325"/>
      <c r="J10" s="325"/>
      <c r="K10" s="325"/>
      <c r="L10" s="325"/>
      <c r="M10" s="325"/>
      <c r="N10" s="325"/>
      <c r="O10" s="325"/>
      <c r="P10" s="325"/>
      <c r="Q10" s="325"/>
      <c r="R10" s="326"/>
    </row>
    <row r="11" spans="2:18" x14ac:dyDescent="0.25">
      <c r="B11" s="168"/>
      <c r="C11" s="180"/>
      <c r="D11" s="180"/>
      <c r="E11" s="180"/>
      <c r="F11" s="180"/>
      <c r="G11" s="180"/>
      <c r="H11" s="180"/>
      <c r="I11" s="180"/>
      <c r="J11" s="180"/>
      <c r="K11" s="180"/>
      <c r="L11" s="180"/>
      <c r="M11" s="180"/>
      <c r="N11" s="180"/>
      <c r="O11" s="180"/>
      <c r="P11" s="180"/>
      <c r="Q11" s="180"/>
      <c r="R11" s="181"/>
    </row>
    <row r="12" spans="2:18" x14ac:dyDescent="0.25">
      <c r="B12" s="168"/>
      <c r="C12" s="180"/>
      <c r="D12" s="180"/>
      <c r="E12" s="180"/>
      <c r="F12" s="180"/>
      <c r="G12" s="180"/>
      <c r="H12" s="180"/>
      <c r="I12" s="180"/>
      <c r="J12" s="180"/>
      <c r="K12" s="180"/>
      <c r="L12" s="180"/>
      <c r="M12" s="180"/>
      <c r="N12" s="180"/>
      <c r="O12" s="180"/>
      <c r="P12" s="180"/>
      <c r="Q12" s="180"/>
      <c r="R12" s="181"/>
    </row>
    <row r="13" spans="2:18" x14ac:dyDescent="0.25">
      <c r="B13" s="168" t="s">
        <v>417</v>
      </c>
      <c r="C13" s="180"/>
      <c r="D13" s="180"/>
      <c r="E13" s="180"/>
      <c r="F13" s="180"/>
      <c r="G13" s="180"/>
      <c r="H13" s="180"/>
      <c r="I13" s="180"/>
      <c r="J13" s="180"/>
      <c r="K13" s="180"/>
      <c r="L13" s="180"/>
      <c r="M13" s="180"/>
      <c r="N13" s="180"/>
      <c r="O13" s="180"/>
      <c r="P13" s="180"/>
      <c r="Q13" s="180"/>
      <c r="R13" s="181"/>
    </row>
    <row r="14" spans="2:18" x14ac:dyDescent="0.25">
      <c r="B14" s="168" t="s">
        <v>364</v>
      </c>
      <c r="C14" s="180"/>
      <c r="D14" s="180"/>
      <c r="E14" s="180"/>
      <c r="F14" s="180"/>
      <c r="G14" s="180"/>
      <c r="H14" s="180"/>
      <c r="I14" s="180"/>
      <c r="J14" s="180"/>
      <c r="K14" s="180"/>
      <c r="L14" s="180"/>
      <c r="M14" s="180"/>
      <c r="N14" s="180"/>
      <c r="O14" s="180"/>
      <c r="P14" s="180"/>
      <c r="Q14" s="180"/>
      <c r="R14" s="181"/>
    </row>
    <row r="15" spans="2:18" x14ac:dyDescent="0.25">
      <c r="B15" s="182" t="s">
        <v>2</v>
      </c>
      <c r="C15" s="180"/>
      <c r="D15" s="180"/>
      <c r="E15" s="180"/>
      <c r="F15" s="180"/>
      <c r="G15" s="180"/>
      <c r="H15" s="180"/>
      <c r="I15" s="180"/>
      <c r="J15" s="180"/>
      <c r="K15" s="180"/>
      <c r="L15" s="180"/>
      <c r="M15" s="180"/>
      <c r="N15" s="180"/>
      <c r="O15" s="180"/>
      <c r="P15" s="180"/>
      <c r="Q15" s="180"/>
      <c r="R15" s="181"/>
    </row>
    <row r="16" spans="2:18" x14ac:dyDescent="0.25">
      <c r="B16" s="168" t="s">
        <v>3</v>
      </c>
      <c r="C16" s="180"/>
      <c r="D16" s="180"/>
      <c r="E16" s="180"/>
      <c r="F16" s="180"/>
      <c r="G16" s="180"/>
      <c r="H16" s="180"/>
      <c r="I16" s="180"/>
      <c r="J16" s="180"/>
      <c r="K16" s="180"/>
      <c r="L16" s="180"/>
      <c r="M16" s="180"/>
      <c r="N16" s="180"/>
      <c r="O16" s="180"/>
      <c r="P16" s="180"/>
      <c r="Q16" s="180"/>
      <c r="R16" s="181"/>
    </row>
    <row r="17" spans="2:18" x14ac:dyDescent="0.25">
      <c r="B17" s="168" t="s">
        <v>4</v>
      </c>
      <c r="C17" s="180"/>
      <c r="D17" s="180"/>
      <c r="E17" s="180"/>
      <c r="F17" s="180"/>
      <c r="G17" s="180"/>
      <c r="H17" s="180"/>
      <c r="I17" s="180"/>
      <c r="J17" s="180"/>
      <c r="K17" s="180"/>
      <c r="L17" s="180"/>
      <c r="M17" s="180"/>
      <c r="N17" s="180"/>
      <c r="O17" s="180"/>
      <c r="P17" s="180"/>
      <c r="Q17" s="180"/>
      <c r="R17" s="181"/>
    </row>
    <row r="18" spans="2:18" x14ac:dyDescent="0.25">
      <c r="B18" s="168" t="s">
        <v>5</v>
      </c>
      <c r="C18" s="180"/>
      <c r="D18" s="180"/>
      <c r="E18" s="180"/>
      <c r="F18" s="180"/>
      <c r="G18" s="180"/>
      <c r="H18" s="180"/>
      <c r="I18" s="180"/>
      <c r="J18" s="180"/>
      <c r="K18" s="180"/>
      <c r="L18" s="180"/>
      <c r="M18" s="180"/>
      <c r="N18" s="180"/>
      <c r="O18" s="180"/>
      <c r="P18" s="180"/>
      <c r="Q18" s="180"/>
      <c r="R18" s="181"/>
    </row>
    <row r="19" spans="2:18" x14ac:dyDescent="0.25">
      <c r="B19" s="182" t="s">
        <v>6</v>
      </c>
      <c r="C19" s="180"/>
      <c r="D19" s="180"/>
      <c r="E19" s="180"/>
      <c r="F19" s="180"/>
      <c r="G19" s="180"/>
      <c r="H19" s="180"/>
      <c r="I19" s="180"/>
      <c r="J19" s="180"/>
      <c r="K19" s="180"/>
      <c r="L19" s="180"/>
      <c r="M19" s="180"/>
      <c r="N19" s="180"/>
      <c r="O19" s="180"/>
      <c r="P19" s="180"/>
      <c r="Q19" s="180"/>
      <c r="R19" s="181"/>
    </row>
    <row r="20" spans="2:18" x14ac:dyDescent="0.25">
      <c r="B20" s="168" t="s">
        <v>7</v>
      </c>
      <c r="C20" s="180"/>
      <c r="D20" s="180"/>
      <c r="E20" s="180"/>
      <c r="F20" s="180"/>
      <c r="G20" s="180"/>
      <c r="H20" s="180"/>
      <c r="I20" s="180"/>
      <c r="J20" s="180"/>
      <c r="K20" s="180"/>
      <c r="L20" s="180"/>
      <c r="M20" s="180"/>
      <c r="N20" s="180"/>
      <c r="O20" s="180"/>
      <c r="P20" s="180"/>
      <c r="Q20" s="180"/>
      <c r="R20" s="181"/>
    </row>
    <row r="21" spans="2:18" x14ac:dyDescent="0.25">
      <c r="B21" s="169" t="s">
        <v>8</v>
      </c>
      <c r="C21" s="183"/>
      <c r="D21" s="183"/>
      <c r="E21" s="183"/>
      <c r="F21" s="183"/>
      <c r="G21" s="183"/>
      <c r="H21" s="183"/>
      <c r="I21" s="183"/>
      <c r="J21" s="183"/>
      <c r="K21" s="183"/>
      <c r="L21" s="183"/>
      <c r="M21" s="183"/>
      <c r="N21" s="183"/>
      <c r="O21" s="183"/>
      <c r="P21" s="183"/>
      <c r="Q21" s="183"/>
      <c r="R21" s="184"/>
    </row>
    <row r="25" spans="2:18" x14ac:dyDescent="0.25">
      <c r="B25" s="1" t="s">
        <v>410</v>
      </c>
      <c r="J25" s="1" t="s">
        <v>411</v>
      </c>
    </row>
    <row r="53" spans="2:11" ht="58" customHeight="1" x14ac:dyDescent="0.25">
      <c r="B53" s="328" t="s">
        <v>412</v>
      </c>
      <c r="C53" s="328"/>
      <c r="D53" s="328"/>
      <c r="E53" s="328"/>
      <c r="F53" s="328"/>
      <c r="G53" s="328"/>
      <c r="H53" s="328"/>
      <c r="I53" s="328"/>
      <c r="J53" s="328"/>
      <c r="K53" s="328"/>
    </row>
    <row r="54" spans="2:11" x14ac:dyDescent="0.25">
      <c r="B54" s="221"/>
      <c r="C54" s="221"/>
      <c r="D54" s="221"/>
      <c r="E54" s="221"/>
      <c r="F54" s="221"/>
      <c r="G54" s="221"/>
      <c r="H54" s="221"/>
      <c r="I54" s="221"/>
      <c r="J54" s="221"/>
      <c r="K54" s="221"/>
    </row>
    <row r="55" spans="2:11" ht="48" customHeight="1" x14ac:dyDescent="0.25">
      <c r="B55" s="329" t="s">
        <v>413</v>
      </c>
      <c r="C55" s="329"/>
      <c r="D55" s="329"/>
      <c r="E55" s="329"/>
      <c r="F55" s="329"/>
      <c r="G55" s="329"/>
      <c r="H55" s="329"/>
      <c r="I55" s="329"/>
      <c r="J55" s="329"/>
      <c r="K55" s="329"/>
    </row>
    <row r="56" spans="2:11" x14ac:dyDescent="0.25">
      <c r="B56" s="222"/>
      <c r="C56" s="222"/>
      <c r="D56" s="222"/>
      <c r="E56" s="222"/>
      <c r="F56" s="222"/>
      <c r="G56" s="222"/>
      <c r="H56" s="222"/>
      <c r="I56" s="222"/>
      <c r="J56" s="222"/>
      <c r="K56" s="222"/>
    </row>
    <row r="57" spans="2:11" ht="49.5" customHeight="1" x14ac:dyDescent="0.25">
      <c r="B57" s="328" t="s">
        <v>414</v>
      </c>
      <c r="C57" s="328"/>
      <c r="D57" s="328"/>
      <c r="E57" s="328"/>
      <c r="F57" s="328"/>
      <c r="G57" s="328"/>
      <c r="H57" s="328"/>
      <c r="I57" s="328"/>
      <c r="J57" s="328"/>
      <c r="K57" s="328"/>
    </row>
    <row r="58" spans="2:11" x14ac:dyDescent="0.25">
      <c r="B58" s="301"/>
      <c r="C58" s="301"/>
      <c r="D58" s="301"/>
      <c r="E58" s="301"/>
      <c r="F58" s="301"/>
      <c r="G58" s="301"/>
      <c r="H58" s="301"/>
      <c r="I58" s="301"/>
      <c r="J58" s="301"/>
      <c r="K58" s="301"/>
    </row>
    <row r="59" spans="2:11" ht="39" customHeight="1" x14ac:dyDescent="0.25">
      <c r="B59" s="328" t="s">
        <v>415</v>
      </c>
      <c r="C59" s="328"/>
      <c r="D59" s="328"/>
      <c r="E59" s="328"/>
      <c r="F59" s="328"/>
      <c r="G59" s="328"/>
      <c r="H59" s="328"/>
      <c r="I59" s="328"/>
      <c r="J59" s="328"/>
      <c r="K59" s="328"/>
    </row>
    <row r="60" spans="2:11" x14ac:dyDescent="0.25">
      <c r="B60" s="302"/>
      <c r="C60" s="302"/>
      <c r="D60" s="302"/>
      <c r="E60" s="302"/>
      <c r="F60" s="302"/>
      <c r="G60" s="302"/>
      <c r="H60" s="302"/>
      <c r="I60" s="302"/>
      <c r="J60" s="302"/>
      <c r="K60" s="302"/>
    </row>
    <row r="61" spans="2:11" ht="44.5" customHeight="1" x14ac:dyDescent="0.25">
      <c r="B61" s="328" t="s">
        <v>416</v>
      </c>
      <c r="C61" s="328"/>
      <c r="D61" s="328"/>
      <c r="E61" s="328"/>
      <c r="F61" s="328"/>
      <c r="G61" s="328"/>
      <c r="H61" s="328"/>
      <c r="I61" s="328"/>
      <c r="J61" s="328"/>
      <c r="K61" s="328"/>
    </row>
    <row r="62" spans="2:11" x14ac:dyDescent="0.25">
      <c r="B62" s="302" t="s">
        <v>368</v>
      </c>
      <c r="C62" s="302"/>
      <c r="D62" s="302"/>
      <c r="E62" s="302"/>
      <c r="F62" s="302"/>
      <c r="G62" s="302"/>
      <c r="H62" s="302"/>
      <c r="I62" s="302"/>
      <c r="J62" s="302"/>
      <c r="K62" s="302"/>
    </row>
    <row r="63" spans="2:11" ht="32.5" customHeight="1" x14ac:dyDescent="0.25">
      <c r="B63" s="327"/>
      <c r="C63" s="327"/>
      <c r="D63" s="327"/>
      <c r="E63" s="327"/>
      <c r="F63" s="327"/>
      <c r="G63" s="327"/>
      <c r="H63" s="327"/>
      <c r="I63" s="327"/>
      <c r="J63" s="327"/>
      <c r="K63" s="327"/>
    </row>
    <row r="64" spans="2:11" x14ac:dyDescent="0.25">
      <c r="B64" s="301" t="s">
        <v>368</v>
      </c>
      <c r="C64" s="301"/>
      <c r="D64" s="301"/>
      <c r="E64" s="301"/>
      <c r="F64" s="301"/>
      <c r="G64" s="301"/>
      <c r="H64" s="301"/>
      <c r="I64" s="301"/>
      <c r="J64" s="301"/>
      <c r="K64" s="301"/>
    </row>
    <row r="65" spans="2:11" ht="31.5" customHeight="1" x14ac:dyDescent="0.25">
      <c r="B65" s="327"/>
      <c r="C65" s="327"/>
      <c r="D65" s="327"/>
      <c r="E65" s="327"/>
      <c r="F65" s="327"/>
      <c r="G65" s="327"/>
      <c r="H65" s="327"/>
      <c r="I65" s="327"/>
      <c r="J65" s="327"/>
      <c r="K65" s="327"/>
    </row>
    <row r="66" spans="2:11" x14ac:dyDescent="0.25">
      <c r="B66" s="18"/>
      <c r="C66" s="18"/>
      <c r="D66" s="18"/>
      <c r="E66" s="18"/>
      <c r="F66" s="18"/>
      <c r="G66" s="18"/>
      <c r="H66" s="18"/>
      <c r="I66" s="18"/>
      <c r="J66" s="18"/>
      <c r="K66" s="18"/>
    </row>
  </sheetData>
  <sheetProtection algorithmName="SHA-512" hashValue="Tl6QMC0WsaoCKckYIfGmw9Z793cALlqxryORz9VwBAfC7Z87/s0VboGdIzeqlo0rGdK503Atu6UbtVlTPAPlug==" saltValue="pDjmmg1spkLc4EHxO6Pj8g==" spinCount="100000" sheet="1" objects="1" scenarios="1"/>
  <mergeCells count="9">
    <mergeCell ref="B8:R8"/>
    <mergeCell ref="B10:R10"/>
    <mergeCell ref="B65:K65"/>
    <mergeCell ref="B53:K53"/>
    <mergeCell ref="B55:K55"/>
    <mergeCell ref="B57:K57"/>
    <mergeCell ref="B59:K59"/>
    <mergeCell ref="B61:K61"/>
    <mergeCell ref="B63:K63"/>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6A41F-1BE0-41B4-8334-B498D17CB828}">
  <sheetPr>
    <tabColor theme="6" tint="0.39997558519241921"/>
  </sheetPr>
  <dimension ref="F1:AG190"/>
  <sheetViews>
    <sheetView zoomScale="60" zoomScaleNormal="60" workbookViewId="0">
      <selection activeCell="K50" sqref="K50"/>
    </sheetView>
  </sheetViews>
  <sheetFormatPr defaultColWidth="8.78515625" defaultRowHeight="13.5" x14ac:dyDescent="0.25"/>
  <cols>
    <col min="1" max="4" width="8.78515625" style="1"/>
    <col min="5" max="5" width="6.42578125" style="1" customWidth="1"/>
    <col min="6" max="6" width="41.5703125" style="1" customWidth="1"/>
    <col min="7" max="7" width="24.0703125" style="1" customWidth="1"/>
    <col min="8" max="8" width="17.42578125" style="1" customWidth="1"/>
    <col min="9" max="9" width="11" style="1" customWidth="1"/>
    <col min="10" max="10" width="32.28515625" style="1" customWidth="1"/>
    <col min="11" max="11" width="18.0703125" style="1" customWidth="1"/>
    <col min="12" max="12" width="11.92578125" style="1" bestFit="1" customWidth="1"/>
    <col min="13" max="13" width="22.42578125" style="1" customWidth="1"/>
    <col min="14" max="14" width="21.42578125" style="1" customWidth="1"/>
    <col min="15" max="15" width="19.78515625" style="1" customWidth="1"/>
    <col min="16" max="19" width="11.42578125" style="1" customWidth="1"/>
    <col min="20" max="20" width="27.35546875" style="1" customWidth="1"/>
    <col min="21" max="21" width="14.5703125" style="1" customWidth="1"/>
    <col min="22" max="22" width="17.92578125" style="1" customWidth="1"/>
    <col min="23" max="23" width="11.0703125" style="1" customWidth="1"/>
    <col min="24" max="24" width="12.0703125" style="1" customWidth="1"/>
    <col min="25" max="25" width="7.92578125" style="1" customWidth="1"/>
    <col min="26" max="26" width="11.92578125" style="1" customWidth="1"/>
    <col min="27" max="27" width="8.35546875" style="1" customWidth="1"/>
    <col min="28" max="28" width="12.78515625" style="1" customWidth="1"/>
    <col min="29" max="29" width="10.28515625" style="1" customWidth="1"/>
    <col min="30" max="30" width="10.5703125" style="1" customWidth="1"/>
    <col min="31" max="31" width="14.5703125" style="1" customWidth="1"/>
    <col min="32" max="32" width="13.5703125" style="1" customWidth="1"/>
    <col min="33" max="33" width="11.78515625" style="1" customWidth="1"/>
    <col min="34" max="16384" width="8.78515625" style="1"/>
  </cols>
  <sheetData>
    <row r="1" spans="6:33" ht="14" thickBot="1" x14ac:dyDescent="0.3"/>
    <row r="2" spans="6:33" ht="30.65" customHeight="1" thickBot="1" x14ac:dyDescent="0.5">
      <c r="F2" s="210" t="s">
        <v>361</v>
      </c>
      <c r="G2" s="128" t="s">
        <v>10</v>
      </c>
      <c r="H2" s="330"/>
      <c r="I2" s="331"/>
      <c r="T2" s="210" t="s">
        <v>362</v>
      </c>
      <c r="U2" s="17"/>
      <c r="V2" s="17"/>
      <c r="W2" s="17"/>
      <c r="X2" s="17"/>
      <c r="Y2" s="17"/>
      <c r="Z2" s="17"/>
      <c r="AA2" s="17"/>
      <c r="AB2" s="17"/>
      <c r="AC2" s="17"/>
      <c r="AD2" s="17"/>
    </row>
    <row r="3" spans="6:33" ht="19.5" x14ac:dyDescent="0.35">
      <c r="F3" s="97" t="s">
        <v>11</v>
      </c>
      <c r="G3" s="4"/>
      <c r="J3" s="4"/>
      <c r="K3" s="4"/>
      <c r="L3" s="4"/>
      <c r="M3" s="25"/>
      <c r="N3" s="25"/>
      <c r="O3" s="50"/>
      <c r="T3" s="3"/>
      <c r="U3" s="34"/>
      <c r="V3" s="34"/>
      <c r="W3" s="34"/>
      <c r="X3" s="34"/>
      <c r="Y3" s="34"/>
      <c r="Z3" s="34"/>
      <c r="AA3" s="34"/>
      <c r="AB3" s="34"/>
      <c r="AC3" s="34"/>
      <c r="AD3" s="34"/>
      <c r="AE3" s="37"/>
      <c r="AF3" s="37"/>
      <c r="AG3" s="54"/>
    </row>
    <row r="4" spans="6:33" ht="55" x14ac:dyDescent="0.35">
      <c r="F4" s="96" t="s">
        <v>365</v>
      </c>
      <c r="G4" s="17" t="s">
        <v>12</v>
      </c>
      <c r="H4" s="17" t="s">
        <v>13</v>
      </c>
      <c r="I4" s="17"/>
      <c r="J4" s="98" t="s">
        <v>14</v>
      </c>
      <c r="K4" s="17" t="s">
        <v>15</v>
      </c>
      <c r="L4" s="17" t="s">
        <v>13</v>
      </c>
      <c r="M4" s="26" t="s">
        <v>16</v>
      </c>
      <c r="N4" s="26" t="s">
        <v>17</v>
      </c>
      <c r="O4" s="51" t="s">
        <v>18</v>
      </c>
      <c r="T4" s="35"/>
      <c r="U4" s="24" t="s">
        <v>19</v>
      </c>
      <c r="V4" s="17" t="s">
        <v>13</v>
      </c>
      <c r="W4" s="17"/>
      <c r="X4" s="17" t="s">
        <v>333</v>
      </c>
      <c r="Y4" s="17" t="s">
        <v>13</v>
      </c>
      <c r="Z4" s="24" t="s">
        <v>329</v>
      </c>
      <c r="AA4" s="17" t="s">
        <v>13</v>
      </c>
      <c r="AB4" s="24" t="s">
        <v>20</v>
      </c>
      <c r="AC4" s="17" t="s">
        <v>13</v>
      </c>
      <c r="AD4" s="17"/>
      <c r="AE4" s="26" t="s">
        <v>21</v>
      </c>
      <c r="AF4" s="26" t="s">
        <v>22</v>
      </c>
      <c r="AG4" s="51" t="s">
        <v>23</v>
      </c>
    </row>
    <row r="5" spans="6:33" ht="14" thickBot="1" x14ac:dyDescent="0.3">
      <c r="F5" s="6" t="s">
        <v>24</v>
      </c>
      <c r="G5" s="17"/>
      <c r="H5" s="17"/>
      <c r="I5" s="17"/>
      <c r="J5" s="17"/>
      <c r="K5" s="17"/>
      <c r="L5" s="17"/>
      <c r="M5" s="142"/>
      <c r="N5" s="142"/>
      <c r="O5" s="143"/>
      <c r="T5" s="35"/>
      <c r="U5" s="36"/>
      <c r="AE5" s="27"/>
      <c r="AF5" s="27"/>
      <c r="AG5" s="56"/>
    </row>
    <row r="6" spans="6:33" ht="14" thickBot="1" x14ac:dyDescent="0.3">
      <c r="F6" s="152" t="s">
        <v>31</v>
      </c>
      <c r="G6" s="153"/>
      <c r="H6" s="154" t="s">
        <v>32</v>
      </c>
      <c r="I6" s="100"/>
      <c r="J6" s="156" t="s">
        <v>33</v>
      </c>
      <c r="K6" s="278"/>
      <c r="L6" s="1" t="s">
        <v>65</v>
      </c>
      <c r="M6" s="137" t="str" cm="1">
        <f t="array" ref="M6">_xlfn.IFS(F6&lt;&gt;"Valitse neitseellinen materiaali",N6+O6,F6="Valitse neitseellinen materiaali","")</f>
        <v/>
      </c>
      <c r="N6" s="137" t="str" cm="1">
        <f t="array" ref="N6">_xlfn.IFS(H6="kg",VLOOKUP(F6,Päästökertoimet!$C$35:$I$59,2,FALSE)*G6,H6="m3",VLOOKUP(F6,Päästökertoimet!$C$35:$I$59,6,FALSE)*G6,F6="Valitse neitseellinen materiaali","")</f>
        <v/>
      </c>
      <c r="O6" s="138" t="str" cm="1">
        <f t="array" ref="O6">_xlfn.IFS(H6="kg",VLOOKUP(Laskentasivu!J6,Päästökertoimet!$M$5:$O$29,2,FALSE)*K6*(G6/1000),H6="m3",VLOOKUP(Laskentasivu!J6,Päästökertoimet!$M$5:$O$29,2,FALSE)*K6*G6*VLOOKUP(F6,Päästökertoimet!$C$35:$I$59,4,FALSE)/1000,F6="Valitse neitseellinen materiaali","")</f>
        <v/>
      </c>
      <c r="T6" s="28" t="str">
        <f>F6</f>
        <v>Valitse neitseellinen materiaali</v>
      </c>
      <c r="U6" s="140" t="str" cm="1">
        <f t="array" ref="U6">IF(V6&lt;&gt;"",_xlfn.XLOOKUP(T6,Kustannukset!$B$15:$B$70,_xlfn.XLOOKUP(Laskentasivu!V6,Kustannukset!$C$14:$E$14,Kustannukset!$C$15:$E$70)),"")</f>
        <v/>
      </c>
      <c r="V6" s="133" t="str" cm="1">
        <f t="array" ref="V6">_xlfn.IFS(H6="kg",Aputaulukko!$F$11,H6="m3",Aputaulukko!$F$12,H6="Materiaalin yksikkö","")</f>
        <v/>
      </c>
      <c r="X6" s="285"/>
      <c r="Y6" s="1" t="s">
        <v>65</v>
      </c>
      <c r="Z6" s="285"/>
      <c r="AA6" s="1" t="s">
        <v>326</v>
      </c>
      <c r="AB6" s="170" t="str">
        <f>IF(Z6&lt;&gt;"",SUMIFS(Kustannukset!$C$78:$C$92,Kustannukset!$B$78:$B$92,Laskentasivu!J6,Kustannukset!$E$78:$E$92,Laskentasivu!X6,Kustannukset!$G$78:$G$92,Laskentasivu!Z6),"")</f>
        <v/>
      </c>
      <c r="AC6" s="1" t="s">
        <v>27</v>
      </c>
      <c r="AE6" s="137">
        <f>AF6+AG6</f>
        <v>0</v>
      </c>
      <c r="AF6" s="137" cm="1">
        <f t="array" ref="AF6">_xlfn.IFS(V6="e/kg",IF(H6="kg",U6*G6),V6="e/m3",IF(H6="m3",U6*G6),V6="",0)</f>
        <v>0</v>
      </c>
      <c r="AG6" s="138" cm="1">
        <f t="array" ref="AG6">_xlfn.IFS(AND(AB6&lt;&gt;"",H6="kg"),K6*AB6*((G6/1000)/VLOOKUP(J6,Kustannukset!$B$79:$K$92,9,FALSE)),AND(AB6&lt;&gt;"",H6="m3"),K6*AB6*((G6*VLOOKUP(F6,Päästökertoimet!$C$5:$I$59,4,FALSE)/1000)/VLOOKUP(J6,Kustannukset!$B$79:$K$92,9,FALSE)),AB6="",0)</f>
        <v>0</v>
      </c>
    </row>
    <row r="7" spans="6:33" ht="14" thickBot="1" x14ac:dyDescent="0.3">
      <c r="F7" s="152" t="s">
        <v>31</v>
      </c>
      <c r="G7" s="153"/>
      <c r="H7" s="154" t="s">
        <v>32</v>
      </c>
      <c r="I7" s="99"/>
      <c r="J7" s="156" t="s">
        <v>33</v>
      </c>
      <c r="K7" s="278"/>
      <c r="L7" s="1" t="s">
        <v>65</v>
      </c>
      <c r="M7" s="137" t="str" cm="1">
        <f t="array" ref="M7">_xlfn.IFS(F7&lt;&gt;"Valitse neitseellinen materiaali",N7+O7,F7="Valitse neitseellinen materiaali","")</f>
        <v/>
      </c>
      <c r="N7" s="137" t="str" cm="1">
        <f t="array" ref="N7">_xlfn.IFS(H7="kg",VLOOKUP(F7,Päästökertoimet!$C$35:$I$59,2,FALSE)*G7,H7="m3",VLOOKUP(F7,Päästökertoimet!$C$35:$I$59,6,FALSE)*G7,F7="Valitse neitseellinen materiaali","")</f>
        <v/>
      </c>
      <c r="O7" s="138" t="str" cm="1">
        <f t="array" ref="O7">_xlfn.IFS(H7="kg",VLOOKUP(Laskentasivu!J7,Päästökertoimet!$M$5:$O$29,2,FALSE)*K7*(G7/1000),H7="m3",VLOOKUP(Laskentasivu!J7,Päästökertoimet!$M$5:$O$29,2,FALSE)*K7*G7*VLOOKUP(F7,Päästökertoimet!$C$35:$I$59,4,FALSE)/1000,F7="Valitse neitseellinen materiaali","")</f>
        <v/>
      </c>
      <c r="T7" s="28" t="str">
        <f t="shared" ref="T7:T38" si="0">F7</f>
        <v>Valitse neitseellinen materiaali</v>
      </c>
      <c r="U7" s="140" t="str" cm="1">
        <f t="array" ref="U7">IF(V7&lt;&gt;"",_xlfn.XLOOKUP(T7,Kustannukset!$B$15:$B$70,_xlfn.XLOOKUP(Laskentasivu!V7,Kustannukset!$C$14:$E$14,Kustannukset!$C$15:$E$70)),"")</f>
        <v/>
      </c>
      <c r="V7" s="133" t="str" cm="1">
        <f t="array" ref="V7">_xlfn.IFS(H7="kg",Aputaulukko!$F$11,H7="m3",Aputaulukko!$F$12,H7="Materiaalin yksikkö","")</f>
        <v/>
      </c>
      <c r="X7" s="285"/>
      <c r="Y7" s="1" t="s">
        <v>65</v>
      </c>
      <c r="Z7" s="285"/>
      <c r="AA7" s="1" t="s">
        <v>326</v>
      </c>
      <c r="AB7" s="170" t="str">
        <f>IF(Z7&lt;&gt;"",SUMIFS(Kustannukset!$C$78:$C$92,Kustannukset!$B$78:$B$92,Laskentasivu!J7,Kustannukset!$E$78:$E$92,Laskentasivu!X7,Kustannukset!$G$78:$G$92,Laskentasivu!Z7),"")</f>
        <v/>
      </c>
      <c r="AC7" s="1" t="s">
        <v>27</v>
      </c>
      <c r="AE7" s="137">
        <f>AF7+AG7</f>
        <v>0</v>
      </c>
      <c r="AF7" s="137" cm="1">
        <f t="array" ref="AF7">_xlfn.IFS(V7="e/kg",IF(H7="kg",U7*G7),V7="e/m3",IF(H7="m3",U7*G7),V7="",0)</f>
        <v>0</v>
      </c>
      <c r="AG7" s="138" cm="1">
        <f t="array" ref="AG7">_xlfn.IFS(AND(AB7&lt;&gt;"",H7="kg"),K7*AB7*((G7/1000)/VLOOKUP(J7,Kustannukset!$B$79:$K$92,9,FALSE)),AND(AB7&lt;&gt;"",H7="m3"),K7*AB7*((G7*VLOOKUP(F7,Päästökertoimet!$C$5:$I$59,4,FALSE)/1000)/VLOOKUP(J7,Kustannukset!$B$79:$K$92,9,FALSE)),AB7="",0)</f>
        <v>0</v>
      </c>
    </row>
    <row r="8" spans="6:33" ht="14" thickBot="1" x14ac:dyDescent="0.3">
      <c r="F8" s="152" t="s">
        <v>31</v>
      </c>
      <c r="G8" s="153"/>
      <c r="H8" s="154" t="s">
        <v>32</v>
      </c>
      <c r="I8" s="99"/>
      <c r="J8" s="156" t="s">
        <v>33</v>
      </c>
      <c r="K8" s="278"/>
      <c r="L8" s="1" t="s">
        <v>65</v>
      </c>
      <c r="M8" s="137" t="str" cm="1">
        <f t="array" ref="M8">_xlfn.IFS(F8&lt;&gt;"Valitse neitseellinen materiaali",N8+O8,F8="Valitse neitseellinen materiaali","")</f>
        <v/>
      </c>
      <c r="N8" s="137" t="str" cm="1">
        <f t="array" ref="N8">_xlfn.IFS(H8="kg",VLOOKUP(F8,Päästökertoimet!$C$35:$I$59,2,FALSE)*G8,H8="m3",VLOOKUP(F8,Päästökertoimet!$C$35:$I$59,6,FALSE)*G8,F8="Valitse neitseellinen materiaali","")</f>
        <v/>
      </c>
      <c r="O8" s="138" t="str" cm="1">
        <f t="array" ref="O8">_xlfn.IFS(H8="kg",VLOOKUP(Laskentasivu!J8,Päästökertoimet!$M$5:$O$29,2,FALSE)*K8*(G8/1000),H8="m3",VLOOKUP(Laskentasivu!J8,Päästökertoimet!$M$5:$O$29,2,FALSE)*K8*G8*VLOOKUP(F8,Päästökertoimet!$C$35:$I$59,4,FALSE)/1000,F8="Valitse neitseellinen materiaali","")</f>
        <v/>
      </c>
      <c r="T8" s="28" t="str">
        <f t="shared" si="0"/>
        <v>Valitse neitseellinen materiaali</v>
      </c>
      <c r="U8" s="140" t="str" cm="1">
        <f t="array" ref="U8">IF(V8&lt;&gt;"",_xlfn.XLOOKUP(T8,Kustannukset!$B$15:$B$70,_xlfn.XLOOKUP(Laskentasivu!V8,Kustannukset!$C$14:$E$14,Kustannukset!$C$15:$E$70)),"")</f>
        <v/>
      </c>
      <c r="V8" s="133" t="str" cm="1">
        <f t="array" ref="V8">_xlfn.IFS(H8="kg",Aputaulukko!$F$11,H8="m3",Aputaulukko!$F$12,H8="Materiaalin yksikkö","")</f>
        <v/>
      </c>
      <c r="X8" s="285"/>
      <c r="Y8" s="1" t="s">
        <v>65</v>
      </c>
      <c r="Z8" s="285"/>
      <c r="AA8" s="1" t="s">
        <v>326</v>
      </c>
      <c r="AB8" s="170" t="str">
        <f>IF(Z8&lt;&gt;"",SUMIFS(Kustannukset!$C$78:$C$92,Kustannukset!$B$78:$B$92,Laskentasivu!J8,Kustannukset!$E$78:$E$92,Laskentasivu!X8,Kustannukset!$G$78:$G$92,Laskentasivu!Z8),"")</f>
        <v/>
      </c>
      <c r="AC8" s="1" t="s">
        <v>27</v>
      </c>
      <c r="AE8" s="137">
        <f t="shared" ref="AE8:AE38" si="1">AF8+AG8</f>
        <v>0</v>
      </c>
      <c r="AF8" s="137" cm="1">
        <f t="array" ref="AF8">_xlfn.IFS(V8="e/kg",IF(H8="kg",U8*G8),V8="e/m3",IF(H8="m3",U8*G8),V8="",0)</f>
        <v>0</v>
      </c>
      <c r="AG8" s="138" cm="1">
        <f t="array" ref="AG8">_xlfn.IFS(AND(AB8&lt;&gt;"",H8="kg"),K8*AB8*((G8/1000)/VLOOKUP(J8,Kustannukset!$B$79:$K$92,9,FALSE)),AND(AB8&lt;&gt;"",H8="m3"),K8*AB8*((G8*VLOOKUP(F8,Päästökertoimet!$C$5:$I$59,4,FALSE)/1000)/VLOOKUP(J8,Kustannukset!$B$79:$K$92,9,FALSE)),AB8="",0)</f>
        <v>0</v>
      </c>
    </row>
    <row r="9" spans="6:33" ht="14" thickBot="1" x14ac:dyDescent="0.3">
      <c r="F9" s="152" t="s">
        <v>31</v>
      </c>
      <c r="G9" s="153"/>
      <c r="H9" s="154" t="s">
        <v>32</v>
      </c>
      <c r="I9" s="99"/>
      <c r="J9" s="156" t="s">
        <v>33</v>
      </c>
      <c r="K9" s="278"/>
      <c r="L9" s="1" t="s">
        <v>65</v>
      </c>
      <c r="M9" s="137" t="str" cm="1">
        <f t="array" ref="M9">_xlfn.IFS(F9&lt;&gt;"Valitse neitseellinen materiaali",N9+O9,F9="Valitse neitseellinen materiaali","")</f>
        <v/>
      </c>
      <c r="N9" s="137" t="str" cm="1">
        <f t="array" ref="N9">_xlfn.IFS(H9="kg",VLOOKUP(F9,Päästökertoimet!$C$35:$I$59,2,FALSE)*G9,H9="m3",VLOOKUP(F9,Päästökertoimet!$C$35:$I$59,6,FALSE)*G9,F9="Valitse neitseellinen materiaali","")</f>
        <v/>
      </c>
      <c r="O9" s="138" t="str" cm="1">
        <f t="array" ref="O9">_xlfn.IFS(H9="kg",VLOOKUP(Laskentasivu!J9,Päästökertoimet!$M$5:$O$29,2,FALSE)*K9*(G9/1000),H9="m3",VLOOKUP(Laskentasivu!J9,Päästökertoimet!$M$5:$O$29,2,FALSE)*K9*G9*VLOOKUP(F9,Päästökertoimet!$C$35:$I$59,4,FALSE)/1000,F9="Valitse neitseellinen materiaali","")</f>
        <v/>
      </c>
      <c r="T9" s="28" t="str">
        <f t="shared" si="0"/>
        <v>Valitse neitseellinen materiaali</v>
      </c>
      <c r="U9" s="140" t="str" cm="1">
        <f t="array" ref="U9">IF(V9&lt;&gt;"",_xlfn.XLOOKUP(T9,Kustannukset!$B$15:$B$70,_xlfn.XLOOKUP(Laskentasivu!V9,Kustannukset!$C$14:$E$14,Kustannukset!$C$15:$E$70)),"")</f>
        <v/>
      </c>
      <c r="V9" s="133" t="str" cm="1">
        <f t="array" ref="V9">_xlfn.IFS(H9="kg",Aputaulukko!$F$11,H9="m3",Aputaulukko!$F$12,H9="Materiaalin yksikkö","")</f>
        <v/>
      </c>
      <c r="X9" s="285" t="s">
        <v>328</v>
      </c>
      <c r="Y9" s="1" t="s">
        <v>65</v>
      </c>
      <c r="Z9" s="285"/>
      <c r="AA9" s="1" t="s">
        <v>326</v>
      </c>
      <c r="AB9" s="170" t="str">
        <f>IF(Z9&lt;&gt;"",SUMIFS(Kustannukset!$C$78:$C$92,Kustannukset!$B$78:$B$92,Laskentasivu!J9,Kustannukset!$E$78:$E$92,Laskentasivu!X9,Kustannukset!$G$78:$G$92,Laskentasivu!Z9),"")</f>
        <v/>
      </c>
      <c r="AC9" s="1" t="s">
        <v>27</v>
      </c>
      <c r="AE9" s="137">
        <f t="shared" si="1"/>
        <v>0</v>
      </c>
      <c r="AF9" s="137" cm="1">
        <f t="array" ref="AF9">_xlfn.IFS(V9="e/kg",IF(H9="kg",U9*G9),V9="e/m3",IF(H9="m3",U9*G9),V9="",0)</f>
        <v>0</v>
      </c>
      <c r="AG9" s="138" cm="1">
        <f t="array" ref="AG9">_xlfn.IFS(AND(AB9&lt;&gt;"",H9="kg"),K9*AB9*((G9/1000)/VLOOKUP(J9,Kustannukset!$B$79:$K$92,9,FALSE)),AND(AB9&lt;&gt;"",H9="m3"),K9*AB9*((G9*VLOOKUP(F9,Päästökertoimet!$C$5:$I$59,4,FALSE)/1000)/VLOOKUP(J9,Kustannukset!$B$79:$K$92,9,FALSE)),AB9="",0)</f>
        <v>0</v>
      </c>
    </row>
    <row r="10" spans="6:33" ht="14" thickBot="1" x14ac:dyDescent="0.3">
      <c r="F10" s="152" t="s">
        <v>31</v>
      </c>
      <c r="G10" s="153"/>
      <c r="H10" s="155" t="s">
        <v>32</v>
      </c>
      <c r="I10" s="99"/>
      <c r="J10" s="156" t="s">
        <v>33</v>
      </c>
      <c r="K10" s="278"/>
      <c r="L10" s="1" t="s">
        <v>65</v>
      </c>
      <c r="M10" s="137" t="str" cm="1">
        <f t="array" ref="M10">_xlfn.IFS(F10&lt;&gt;"Valitse neitseellinen materiaali",N10+O10,F10="Valitse neitseellinen materiaali","")</f>
        <v/>
      </c>
      <c r="N10" s="137" t="str" cm="1">
        <f t="array" ref="N10">_xlfn.IFS(H10="kg",VLOOKUP(F10,Päästökertoimet!$C$35:$I$59,2,FALSE)*G10,H10="m3",VLOOKUP(F10,Päästökertoimet!$C$35:$I$59,6,FALSE)*G10,F10="Valitse neitseellinen materiaali","")</f>
        <v/>
      </c>
      <c r="O10" s="138" t="str" cm="1">
        <f t="array" ref="O10">_xlfn.IFS(H10="kg",VLOOKUP(Laskentasivu!J10,Päästökertoimet!$M$5:$O$29,2,FALSE)*K10*(G10/1000),H10="m3",VLOOKUP(Laskentasivu!J10,Päästökertoimet!$M$5:$O$29,2,FALSE)*K10*G10*VLOOKUP(F10,Päästökertoimet!$C$35:$I$59,4,FALSE)/1000,F10="Valitse neitseellinen materiaali","")</f>
        <v/>
      </c>
      <c r="T10" s="28" t="str">
        <f t="shared" si="0"/>
        <v>Valitse neitseellinen materiaali</v>
      </c>
      <c r="U10" s="140" t="str" cm="1">
        <f t="array" ref="U10">IF(V10&lt;&gt;"",_xlfn.XLOOKUP(T10,Kustannukset!$B$15:$B$70,_xlfn.XLOOKUP(Laskentasivu!V10,Kustannukset!$C$14:$E$14,Kustannukset!$C$15:$E$70)),"")</f>
        <v/>
      </c>
      <c r="V10" s="133" t="str" cm="1">
        <f t="array" ref="V10">_xlfn.IFS(H10="kg",Aputaulukko!$F$11,H10="m3",Aputaulukko!$F$12,H10="Materiaalin yksikkö","")</f>
        <v/>
      </c>
      <c r="X10" s="285" t="s">
        <v>328</v>
      </c>
      <c r="Y10" s="1" t="s">
        <v>65</v>
      </c>
      <c r="Z10" s="285"/>
      <c r="AA10" s="1" t="s">
        <v>326</v>
      </c>
      <c r="AB10" s="170" t="str">
        <f>IF(Z10&lt;&gt;"",SUMIFS(Kustannukset!$C$78:$C$92,Kustannukset!$B$78:$B$92,Laskentasivu!J10,Kustannukset!$E$78:$E$92,Laskentasivu!X10,Kustannukset!$G$78:$G$92,Laskentasivu!Z10),"")</f>
        <v/>
      </c>
      <c r="AC10" s="1" t="s">
        <v>27</v>
      </c>
      <c r="AE10" s="137">
        <f t="shared" si="1"/>
        <v>0</v>
      </c>
      <c r="AF10" s="137" cm="1">
        <f t="array" ref="AF10">_xlfn.IFS(V10="e/kg",IF(H10="kg",U10*G10),V10="e/m3",IF(H10="m3",U10*G10),V10="",0)</f>
        <v>0</v>
      </c>
      <c r="AG10" s="138" cm="1">
        <f t="array" ref="AG10">_xlfn.IFS(AND(AB10&lt;&gt;"",H10="kg"),K10*AB10*((G10/1000)/VLOOKUP(J10,Kustannukset!$B$79:$K$92,9,FALSE)),AND(AB10&lt;&gt;"",H10="m3"),K10*AB10*((G10*VLOOKUP(F10,Päästökertoimet!$C$5:$I$59,4,FALSE)/1000)/VLOOKUP(J10,Kustannukset!$B$79:$K$92,9,FALSE)),AB10="",0)</f>
        <v>0</v>
      </c>
    </row>
    <row r="11" spans="6:33" ht="14" thickBot="1" x14ac:dyDescent="0.3">
      <c r="F11" s="152" t="s">
        <v>31</v>
      </c>
      <c r="G11" s="153"/>
      <c r="H11" s="154" t="s">
        <v>32</v>
      </c>
      <c r="I11" s="99"/>
      <c r="J11" s="156" t="s">
        <v>33</v>
      </c>
      <c r="K11" s="278"/>
      <c r="L11" s="1" t="s">
        <v>65</v>
      </c>
      <c r="M11" s="137" t="str" cm="1">
        <f t="array" ref="M11">_xlfn.IFS(F11&lt;&gt;"Valitse neitseellinen materiaali",N11+O11,F11="Valitse neitseellinen materiaali","")</f>
        <v/>
      </c>
      <c r="N11" s="137" t="str" cm="1">
        <f t="array" ref="N11">_xlfn.IFS(H11="kg",VLOOKUP(F11,Päästökertoimet!$C$35:$I$59,2,FALSE)*G11,H11="m3",VLOOKUP(F11,Päästökertoimet!$C$35:$I$59,6,FALSE)*G11,F11="Valitse neitseellinen materiaali","")</f>
        <v/>
      </c>
      <c r="O11" s="138" t="str" cm="1">
        <f t="array" ref="O11">_xlfn.IFS(H11="kg",VLOOKUP(Laskentasivu!J11,Päästökertoimet!$M$5:$O$29,2,FALSE)*K11*(G11/1000),H11="m3",VLOOKUP(Laskentasivu!J11,Päästökertoimet!$M$5:$O$29,2,FALSE)*K11*G11*VLOOKUP(F11,Päästökertoimet!$C$35:$I$59,4,FALSE)/1000,F11="Valitse neitseellinen materiaali","")</f>
        <v/>
      </c>
      <c r="T11" s="28" t="str">
        <f t="shared" si="0"/>
        <v>Valitse neitseellinen materiaali</v>
      </c>
      <c r="U11" s="140" t="str" cm="1">
        <f t="array" ref="U11">IF(V11&lt;&gt;"",_xlfn.XLOOKUP(T11,Kustannukset!$B$15:$B$70,_xlfn.XLOOKUP(Laskentasivu!V11,Kustannukset!$C$14:$E$14,Kustannukset!$C$15:$E$70)),"")</f>
        <v/>
      </c>
      <c r="V11" s="133" t="str" cm="1">
        <f t="array" ref="V11">_xlfn.IFS(H11="kg",Aputaulukko!$F$11,H11="m3",Aputaulukko!$F$12,H11="Materiaalin yksikkö","")</f>
        <v/>
      </c>
      <c r="X11" s="285" t="s">
        <v>328</v>
      </c>
      <c r="Y11" s="1" t="s">
        <v>65</v>
      </c>
      <c r="Z11" s="285"/>
      <c r="AA11" s="1" t="s">
        <v>326</v>
      </c>
      <c r="AB11" s="170" t="str">
        <f>IF(Z11&lt;&gt;"",SUMIFS(Kustannukset!$C$78:$C$92,Kustannukset!$B$78:$B$92,Laskentasivu!J11,Kustannukset!$E$78:$E$92,Laskentasivu!X11,Kustannukset!$G$78:$G$92,Laskentasivu!Z11),"")</f>
        <v/>
      </c>
      <c r="AC11" s="1" t="s">
        <v>27</v>
      </c>
      <c r="AE11" s="137">
        <f t="shared" si="1"/>
        <v>0</v>
      </c>
      <c r="AF11" s="137" cm="1">
        <f t="array" ref="AF11">_xlfn.IFS(V11="e/kg",IF(H11="kg",U11*G11),V11="e/m3",IF(H11="m3",U11*G11),V11="",0)</f>
        <v>0</v>
      </c>
      <c r="AG11" s="138" cm="1">
        <f t="array" ref="AG11">_xlfn.IFS(AND(AB11&lt;&gt;"",H11="kg"),K11*AB11*((G11/1000)/VLOOKUP(J11,Kustannukset!$B$79:$K$92,9,FALSE)),AND(AB11&lt;&gt;"",H11="m3"),K11*AB11*((G11*VLOOKUP(F11,Päästökertoimet!$C$5:$I$59,4,FALSE)/1000)/VLOOKUP(J11,Kustannukset!$B$79:$K$92,9,FALSE)),AB11="",0)</f>
        <v>0</v>
      </c>
    </row>
    <row r="12" spans="6:33" ht="14" thickBot="1" x14ac:dyDescent="0.3">
      <c r="F12" s="152" t="s">
        <v>31</v>
      </c>
      <c r="G12" s="153"/>
      <c r="H12" s="154" t="s">
        <v>32</v>
      </c>
      <c r="I12" s="99"/>
      <c r="J12" s="156" t="s">
        <v>33</v>
      </c>
      <c r="K12" s="278"/>
      <c r="L12" s="1" t="s">
        <v>65</v>
      </c>
      <c r="M12" s="137" t="str" cm="1">
        <f t="array" ref="M12">_xlfn.IFS(F12&lt;&gt;"Valitse neitseellinen materiaali",N12+O12,F12="Valitse neitseellinen materiaali","")</f>
        <v/>
      </c>
      <c r="N12" s="137" t="str" cm="1">
        <f t="array" ref="N12">_xlfn.IFS(H12="kg",VLOOKUP(F12,Päästökertoimet!$C$35:$I$59,2,FALSE)*G12,H12="m3",VLOOKUP(F12,Päästökertoimet!$C$35:$I$59,6,FALSE)*G12,F12="Valitse neitseellinen materiaali","")</f>
        <v/>
      </c>
      <c r="O12" s="138" t="str" cm="1">
        <f t="array" ref="O12">_xlfn.IFS(H12="kg",VLOOKUP(Laskentasivu!J12,Päästökertoimet!$M$5:$O$29,2,FALSE)*K12*(G12/1000),H12="m3",VLOOKUP(Laskentasivu!J12,Päästökertoimet!$M$5:$O$29,2,FALSE)*K12*G12*VLOOKUP(F12,Päästökertoimet!$C$35:$I$59,4,FALSE)/1000,F12="Valitse neitseellinen materiaali","")</f>
        <v/>
      </c>
      <c r="T12" s="28" t="str">
        <f t="shared" si="0"/>
        <v>Valitse neitseellinen materiaali</v>
      </c>
      <c r="U12" s="140" t="str" cm="1">
        <f t="array" ref="U12">IF(V12&lt;&gt;"",_xlfn.XLOOKUP(T12,Kustannukset!$B$15:$B$70,_xlfn.XLOOKUP(Laskentasivu!V12,Kustannukset!$C$14:$E$14,Kustannukset!$C$15:$E$70)),"")</f>
        <v/>
      </c>
      <c r="V12" s="133" t="str" cm="1">
        <f t="array" ref="V12">_xlfn.IFS(H12="kg",Aputaulukko!$F$11,H12="m3",Aputaulukko!$F$12,H12="Materiaalin yksikkö","")</f>
        <v/>
      </c>
      <c r="X12" s="285"/>
      <c r="Y12" s="1" t="s">
        <v>65</v>
      </c>
      <c r="Z12" s="285"/>
      <c r="AA12" s="1" t="s">
        <v>326</v>
      </c>
      <c r="AB12" s="170" t="str">
        <f>IF(Z12&lt;&gt;"",SUMIFS(Kustannukset!$C$78:$C$92,Kustannukset!$B$78:$B$92,Laskentasivu!J12,Kustannukset!$E$78:$E$92,Laskentasivu!X12,Kustannukset!$G$78:$G$92,Laskentasivu!Z12),"")</f>
        <v/>
      </c>
      <c r="AC12" s="1" t="s">
        <v>27</v>
      </c>
      <c r="AE12" s="137">
        <f t="shared" si="1"/>
        <v>0</v>
      </c>
      <c r="AF12" s="137" cm="1">
        <f t="array" ref="AF12">_xlfn.IFS(V12="e/kg",IF(H12="kg",U12*G12),V12="e/m3",IF(H12="m3",U12*G12),V12="",0)</f>
        <v>0</v>
      </c>
      <c r="AG12" s="138" cm="1">
        <f t="array" ref="AG12">_xlfn.IFS(AND(AB12&lt;&gt;"",H12="kg"),K12*AB12*((G12/1000)/VLOOKUP(J12,Kustannukset!$B$79:$K$92,9,FALSE)),AND(AB12&lt;&gt;"",H12="m3"),K12*AB12*((G12*VLOOKUP(F12,Päästökertoimet!$C$5:$I$59,4,FALSE)/1000)/VLOOKUP(J12,Kustannukset!$B$79:$K$92,9,FALSE)),AB12="",0)</f>
        <v>0</v>
      </c>
    </row>
    <row r="13" spans="6:33" ht="14" thickBot="1" x14ac:dyDescent="0.3">
      <c r="F13" s="152" t="s">
        <v>31</v>
      </c>
      <c r="G13" s="153"/>
      <c r="H13" s="154" t="s">
        <v>32</v>
      </c>
      <c r="I13" s="99"/>
      <c r="J13" s="156" t="s">
        <v>33</v>
      </c>
      <c r="K13" s="278"/>
      <c r="L13" s="1" t="s">
        <v>65</v>
      </c>
      <c r="M13" s="137" t="str" cm="1">
        <f t="array" ref="M13">_xlfn.IFS(F13&lt;&gt;"Valitse neitseellinen materiaali",N13+O13,F13="Valitse neitseellinen materiaali","")</f>
        <v/>
      </c>
      <c r="N13" s="137" t="str" cm="1">
        <f t="array" ref="N13">_xlfn.IFS(H13="kg",VLOOKUP(F13,Päästökertoimet!$C$35:$I$59,2,FALSE)*G13,H13="m3",VLOOKUP(F13,Päästökertoimet!$C$35:$I$59,6,FALSE)*G13,F13="Valitse neitseellinen materiaali","")</f>
        <v/>
      </c>
      <c r="O13" s="138" t="str" cm="1">
        <f t="array" ref="O13">_xlfn.IFS(H13="kg",VLOOKUP(Laskentasivu!J13,Päästökertoimet!$M$5:$O$29,2,FALSE)*K13*(G13/1000),H13="m3",VLOOKUP(Laskentasivu!J13,Päästökertoimet!$M$5:$O$29,2,FALSE)*K13*G13*VLOOKUP(F13,Päästökertoimet!$C$35:$I$59,4,FALSE)/1000,F13="Valitse neitseellinen materiaali","")</f>
        <v/>
      </c>
      <c r="T13" s="28" t="str">
        <f t="shared" si="0"/>
        <v>Valitse neitseellinen materiaali</v>
      </c>
      <c r="U13" s="140" t="str" cm="1">
        <f t="array" ref="U13">IF(V13&lt;&gt;"",_xlfn.XLOOKUP(T13,Kustannukset!$B$15:$B$70,_xlfn.XLOOKUP(Laskentasivu!V13,Kustannukset!$C$14:$E$14,Kustannukset!$C$15:$E$70)),"")</f>
        <v/>
      </c>
      <c r="V13" s="133" t="str" cm="1">
        <f t="array" ref="V13">_xlfn.IFS(H13="kg",Aputaulukko!$F$11,H13="m3",Aputaulukko!$F$12,H13="Materiaalin yksikkö","")</f>
        <v/>
      </c>
      <c r="X13" s="285" t="s">
        <v>328</v>
      </c>
      <c r="Y13" s="1" t="s">
        <v>65</v>
      </c>
      <c r="Z13" s="285"/>
      <c r="AA13" s="1" t="s">
        <v>326</v>
      </c>
      <c r="AB13" s="170" t="str">
        <f>IF(Z13&lt;&gt;"",SUMIFS(Kustannukset!$C$78:$C$92,Kustannukset!$B$78:$B$92,Laskentasivu!J13,Kustannukset!$E$78:$E$92,Laskentasivu!X13,Kustannukset!$G$78:$G$92,Laskentasivu!Z13),"")</f>
        <v/>
      </c>
      <c r="AC13" s="1" t="s">
        <v>27</v>
      </c>
      <c r="AE13" s="137">
        <f t="shared" si="1"/>
        <v>0</v>
      </c>
      <c r="AF13" s="137" cm="1">
        <f t="array" ref="AF13">_xlfn.IFS(V13="e/kg",IF(H13="kg",U13*G13),V13="e/m3",IF(H13="m3",U13*G13),V13="",0)</f>
        <v>0</v>
      </c>
      <c r="AG13" s="138" cm="1">
        <f t="array" ref="AG13">_xlfn.IFS(AND(AB13&lt;&gt;"",H13="kg"),K13*AB13*((G13/1000)/VLOOKUP(J13,Kustannukset!$B$79:$K$92,9,FALSE)),AND(AB13&lt;&gt;"",H13="m3"),K13*AB13*((G13*VLOOKUP(F13,Päästökertoimet!$C$5:$I$59,4,FALSE)/1000)/VLOOKUP(J13,Kustannukset!$B$79:$K$92,9,FALSE)),AB13="",0)</f>
        <v>0</v>
      </c>
    </row>
    <row r="14" spans="6:33" ht="14" thickBot="1" x14ac:dyDescent="0.3">
      <c r="F14" s="152" t="s">
        <v>31</v>
      </c>
      <c r="G14" s="153"/>
      <c r="H14" s="154" t="s">
        <v>32</v>
      </c>
      <c r="I14" s="99"/>
      <c r="J14" s="156" t="s">
        <v>33</v>
      </c>
      <c r="K14" s="278"/>
      <c r="L14" s="1" t="s">
        <v>65</v>
      </c>
      <c r="M14" s="137" t="str" cm="1">
        <f t="array" ref="M14">_xlfn.IFS(F14&lt;&gt;"Valitse neitseellinen materiaali",N14+O14,F14="Valitse neitseellinen materiaali","")</f>
        <v/>
      </c>
      <c r="N14" s="137" t="str" cm="1">
        <f t="array" ref="N14">_xlfn.IFS(H14="kg",VLOOKUP(F14,Päästökertoimet!$C$35:$I$59,2,FALSE)*G14,H14="m3",VLOOKUP(F14,Päästökertoimet!$C$35:$I$59,6,FALSE)*G14,F14="Valitse neitseellinen materiaali","")</f>
        <v/>
      </c>
      <c r="O14" s="138" t="str" cm="1">
        <f t="array" ref="O14">_xlfn.IFS(H14="kg",VLOOKUP(Laskentasivu!J14,Päästökertoimet!$M$5:$O$29,2,FALSE)*K14*(G14/1000),H14="m3",VLOOKUP(Laskentasivu!J14,Päästökertoimet!$M$5:$O$29,2,FALSE)*K14*G14*VLOOKUP(F14,Päästökertoimet!$C$35:$I$59,4,FALSE)/1000,F14="Valitse neitseellinen materiaali","")</f>
        <v/>
      </c>
      <c r="T14" s="28" t="str">
        <f t="shared" si="0"/>
        <v>Valitse neitseellinen materiaali</v>
      </c>
      <c r="U14" s="140" t="str" cm="1">
        <f t="array" ref="U14">IF(V14&lt;&gt;"",_xlfn.XLOOKUP(T14,Kustannukset!$B$15:$B$70,_xlfn.XLOOKUP(Laskentasivu!V14,Kustannukset!$C$14:$E$14,Kustannukset!$C$15:$E$70)),"")</f>
        <v/>
      </c>
      <c r="V14" s="133" t="str" cm="1">
        <f t="array" ref="V14">_xlfn.IFS(H14="kg",Aputaulukko!$F$11,H14="m3",Aputaulukko!$F$12,H14="Materiaalin yksikkö","")</f>
        <v/>
      </c>
      <c r="X14" s="285" t="s">
        <v>328</v>
      </c>
      <c r="Y14" s="1" t="s">
        <v>65</v>
      </c>
      <c r="Z14" s="285"/>
      <c r="AA14" s="1" t="s">
        <v>326</v>
      </c>
      <c r="AB14" s="170" t="str">
        <f>IF(Z14&lt;&gt;"",SUMIFS(Kustannukset!$C$78:$C$92,Kustannukset!$B$78:$B$92,Laskentasivu!J14,Kustannukset!$E$78:$E$92,Laskentasivu!X14,Kustannukset!$G$78:$G$92,Laskentasivu!Z14),"")</f>
        <v/>
      </c>
      <c r="AC14" s="1" t="s">
        <v>27</v>
      </c>
      <c r="AE14" s="137">
        <f t="shared" si="1"/>
        <v>0</v>
      </c>
      <c r="AF14" s="137" cm="1">
        <f t="array" ref="AF14">_xlfn.IFS(V14="e/kg",IF(H14="kg",U14*G14),V14="e/m3",IF(H14="m3",U14*G14),V14="",0)</f>
        <v>0</v>
      </c>
      <c r="AG14" s="138" cm="1">
        <f t="array" ref="AG14">_xlfn.IFS(AND(AB14&lt;&gt;"",H14="kg"),K14*AB14*((G14/1000)/VLOOKUP(J14,Kustannukset!$B$79:$K$92,9,FALSE)),AND(AB14&lt;&gt;"",H14="m3"),K14*AB14*((G14*VLOOKUP(F14,Päästökertoimet!$C$5:$I$59,4,FALSE)/1000)/VLOOKUP(J14,Kustannukset!$B$79:$K$92,9,FALSE)),AB14="",0)</f>
        <v>0</v>
      </c>
    </row>
    <row r="15" spans="6:33" ht="14" thickBot="1" x14ac:dyDescent="0.3">
      <c r="F15" s="152" t="s">
        <v>31</v>
      </c>
      <c r="G15" s="153"/>
      <c r="H15" s="154" t="s">
        <v>32</v>
      </c>
      <c r="I15" s="99"/>
      <c r="J15" s="156" t="s">
        <v>33</v>
      </c>
      <c r="K15" s="278"/>
      <c r="L15" s="1" t="s">
        <v>65</v>
      </c>
      <c r="M15" s="137" t="str" cm="1">
        <f t="array" ref="M15">_xlfn.IFS(F15&lt;&gt;"Valitse neitseellinen materiaali",N15+O15,F15="Valitse neitseellinen materiaali","")</f>
        <v/>
      </c>
      <c r="N15" s="137" t="str" cm="1">
        <f t="array" ref="N15">_xlfn.IFS(H15="kg",VLOOKUP(F15,Päästökertoimet!$C$35:$I$59,2,FALSE)*G15,H15="m3",VLOOKUP(F15,Päästökertoimet!$C$35:$I$59,6,FALSE)*G15,F15="Valitse neitseellinen materiaali","")</f>
        <v/>
      </c>
      <c r="O15" s="138" t="str" cm="1">
        <f t="array" ref="O15">_xlfn.IFS(H15="kg",VLOOKUP(Laskentasivu!J15,Päästökertoimet!$M$5:$O$29,2,FALSE)*K15*(G15/1000),H15="m3",VLOOKUP(Laskentasivu!J15,Päästökertoimet!$M$5:$O$29,2,FALSE)*K15*G15*VLOOKUP(F15,Päästökertoimet!$C$35:$I$59,4,FALSE)/1000,F15="Valitse neitseellinen materiaali","")</f>
        <v/>
      </c>
      <c r="T15" s="28" t="str">
        <f t="shared" si="0"/>
        <v>Valitse neitseellinen materiaali</v>
      </c>
      <c r="U15" s="140" t="str" cm="1">
        <f t="array" ref="U15">IF(V15&lt;&gt;"",_xlfn.XLOOKUP(T15,Kustannukset!$B$15:$B$70,_xlfn.XLOOKUP(Laskentasivu!V15,Kustannukset!$C$14:$E$14,Kustannukset!$C$15:$E$70)),"")</f>
        <v/>
      </c>
      <c r="V15" s="133" t="str" cm="1">
        <f t="array" ref="V15">_xlfn.IFS(H15="kg",Aputaulukko!$F$11,H15="m3",Aputaulukko!$F$12,H15="Materiaalin yksikkö","")</f>
        <v/>
      </c>
      <c r="X15" s="285" t="s">
        <v>328</v>
      </c>
      <c r="Y15" s="1" t="s">
        <v>65</v>
      </c>
      <c r="Z15" s="285"/>
      <c r="AA15" s="1" t="s">
        <v>326</v>
      </c>
      <c r="AB15" s="170" t="str">
        <f>IF(Z15&lt;&gt;"",SUMIFS(Kustannukset!$C$78:$C$92,Kustannukset!$B$78:$B$92,Laskentasivu!J15,Kustannukset!$E$78:$E$92,Laskentasivu!X15,Kustannukset!$G$78:$G$92,Laskentasivu!Z15),"")</f>
        <v/>
      </c>
      <c r="AC15" s="1" t="s">
        <v>27</v>
      </c>
      <c r="AE15" s="137">
        <f t="shared" si="1"/>
        <v>0</v>
      </c>
      <c r="AF15" s="137" cm="1">
        <f t="array" ref="AF15">_xlfn.IFS(V15="e/kg",IF(H15="kg",U15*G15),V15="e/m3",IF(H15="m3",U15*G15),V15="",0)</f>
        <v>0</v>
      </c>
      <c r="AG15" s="138" cm="1">
        <f t="array" ref="AG15">_xlfn.IFS(AND(AB15&lt;&gt;"",H15="kg"),K15*AB15*((G15/1000)/VLOOKUP(J15,Kustannukset!$B$79:$K$92,9,FALSE)),AND(AB15&lt;&gt;"",H15="m3"),K15*AB15*((G15*VLOOKUP(F15,Päästökertoimet!$C$5:$I$59,4,FALSE)/1000)/VLOOKUP(J15,Kustannukset!$B$79:$K$92,9,FALSE)),AB15="",0)</f>
        <v>0</v>
      </c>
    </row>
    <row r="16" spans="6:33" ht="14" thickBot="1" x14ac:dyDescent="0.3">
      <c r="F16" s="152" t="s">
        <v>31</v>
      </c>
      <c r="G16" s="153"/>
      <c r="H16" s="154" t="s">
        <v>32</v>
      </c>
      <c r="I16" s="99"/>
      <c r="J16" s="156" t="s">
        <v>33</v>
      </c>
      <c r="K16" s="278"/>
      <c r="L16" s="1" t="s">
        <v>65</v>
      </c>
      <c r="M16" s="137" t="str" cm="1">
        <f t="array" ref="M16">_xlfn.IFS(F16&lt;&gt;"Valitse neitseellinen materiaali",N16+O16,F16="Valitse neitseellinen materiaali","")</f>
        <v/>
      </c>
      <c r="N16" s="137" t="str" cm="1">
        <f t="array" ref="N16">_xlfn.IFS(H16="kg",VLOOKUP(F16,Päästökertoimet!$C$35:$I$59,2,FALSE)*G16,H16="m3",VLOOKUP(F16,Päästökertoimet!$C$35:$I$59,6,FALSE)*G16,F16="Valitse neitseellinen materiaali","")</f>
        <v/>
      </c>
      <c r="O16" s="138" t="str" cm="1">
        <f t="array" ref="O16">_xlfn.IFS(H16="kg",VLOOKUP(Laskentasivu!J16,Päästökertoimet!$M$5:$O$29,2,FALSE)*K16*(G16/1000),H16="m3",VLOOKUP(Laskentasivu!J16,Päästökertoimet!$M$5:$O$29,2,FALSE)*K16*G16*VLOOKUP(F16,Päästökertoimet!$C$35:$I$59,4,FALSE)/1000,F16="Valitse neitseellinen materiaali","")</f>
        <v/>
      </c>
      <c r="T16" s="28" t="str">
        <f t="shared" si="0"/>
        <v>Valitse neitseellinen materiaali</v>
      </c>
      <c r="U16" s="140" t="str" cm="1">
        <f t="array" ref="U16">IF(V16&lt;&gt;"",_xlfn.XLOOKUP(T16,Kustannukset!$B$15:$B$70,_xlfn.XLOOKUP(Laskentasivu!V16,Kustannukset!$C$14:$E$14,Kustannukset!$C$15:$E$70)),"")</f>
        <v/>
      </c>
      <c r="V16" s="133" t="str" cm="1">
        <f t="array" ref="V16">_xlfn.IFS(H16="kg",Aputaulukko!$F$11,H16="m3",Aputaulukko!$F$12,H16="Materiaalin yksikkö","")</f>
        <v/>
      </c>
      <c r="X16" s="285" t="s">
        <v>328</v>
      </c>
      <c r="Y16" s="1" t="s">
        <v>65</v>
      </c>
      <c r="Z16" s="285"/>
      <c r="AA16" s="1" t="s">
        <v>326</v>
      </c>
      <c r="AB16" s="170" t="str">
        <f>IF(Z16&lt;&gt;"",SUMIFS(Kustannukset!$C$78:$C$92,Kustannukset!$B$78:$B$92,Laskentasivu!J16,Kustannukset!$E$78:$E$92,Laskentasivu!X16,Kustannukset!$G$78:$G$92,Laskentasivu!Z16),"")</f>
        <v/>
      </c>
      <c r="AC16" s="1" t="s">
        <v>27</v>
      </c>
      <c r="AE16" s="137">
        <f t="shared" si="1"/>
        <v>0</v>
      </c>
      <c r="AF16" s="137" cm="1">
        <f t="array" ref="AF16">_xlfn.IFS(V16="e/kg",IF(H16="kg",U16*G16),V16="e/m3",IF(H16="m3",U16*G16),V16="",0)</f>
        <v>0</v>
      </c>
      <c r="AG16" s="138" cm="1">
        <f t="array" ref="AG16">_xlfn.IFS(AND(AB16&lt;&gt;"",H16="kg"),K16*AB16*((G16/1000)/VLOOKUP(J16,Kustannukset!$B$79:$K$92,9,FALSE)),AND(AB16&lt;&gt;"",H16="m3"),K16*AB16*((G16*VLOOKUP(F16,Päästökertoimet!$C$5:$I$59,4,FALSE)/1000)/VLOOKUP(J16,Kustannukset!$B$79:$K$92,9,FALSE)),AB16="",0)</f>
        <v>0</v>
      </c>
    </row>
    <row r="17" spans="6:33" ht="14" thickBot="1" x14ac:dyDescent="0.3">
      <c r="F17" s="152" t="s">
        <v>31</v>
      </c>
      <c r="G17" s="153"/>
      <c r="H17" s="154" t="s">
        <v>32</v>
      </c>
      <c r="I17" s="99"/>
      <c r="J17" s="156" t="s">
        <v>33</v>
      </c>
      <c r="K17" s="278"/>
      <c r="L17" s="1" t="s">
        <v>65</v>
      </c>
      <c r="M17" s="137" t="str" cm="1">
        <f t="array" ref="M17">_xlfn.IFS(F17&lt;&gt;"Valitse neitseellinen materiaali",N17+O17,F17="Valitse neitseellinen materiaali","")</f>
        <v/>
      </c>
      <c r="N17" s="137" t="str" cm="1">
        <f t="array" ref="N17">_xlfn.IFS(H17="kg",VLOOKUP(F17,Päästökertoimet!$C$35:$I$59,2,FALSE)*G17,H17="m3",VLOOKUP(F17,Päästökertoimet!$C$35:$I$59,6,FALSE)*G17,F17="Valitse neitseellinen materiaali","")</f>
        <v/>
      </c>
      <c r="O17" s="138" t="str" cm="1">
        <f t="array" ref="O17">_xlfn.IFS(H17="kg",VLOOKUP(Laskentasivu!J17,Päästökertoimet!$M$5:$O$29,2,FALSE)*K17*(G17/1000),H17="m3",VLOOKUP(Laskentasivu!J17,Päästökertoimet!$M$5:$O$29,2,FALSE)*K17*G17*VLOOKUP(F17,Päästökertoimet!$C$35:$I$59,4,FALSE)/1000,F17="Valitse neitseellinen materiaali","")</f>
        <v/>
      </c>
      <c r="T17" s="28" t="str">
        <f t="shared" si="0"/>
        <v>Valitse neitseellinen materiaali</v>
      </c>
      <c r="U17" s="140" t="str" cm="1">
        <f t="array" ref="U17">IF(V17&lt;&gt;"",_xlfn.XLOOKUP(T17,Kustannukset!$B$15:$B$70,_xlfn.XLOOKUP(Laskentasivu!V17,Kustannukset!$C$14:$E$14,Kustannukset!$C$15:$E$70)),"")</f>
        <v/>
      </c>
      <c r="V17" s="133" t="str" cm="1">
        <f t="array" ref="V17">_xlfn.IFS(H17="kg",Aputaulukko!$F$11,H17="m3",Aputaulukko!$F$12,H17="Materiaalin yksikkö","")</f>
        <v/>
      </c>
      <c r="X17" s="285" t="s">
        <v>328</v>
      </c>
      <c r="Y17" s="1" t="s">
        <v>65</v>
      </c>
      <c r="Z17" s="285"/>
      <c r="AA17" s="1" t="s">
        <v>326</v>
      </c>
      <c r="AB17" s="170" t="str">
        <f>IF(Z17&lt;&gt;"",SUMIFS(Kustannukset!$C$78:$C$92,Kustannukset!$B$78:$B$92,Laskentasivu!J17,Kustannukset!$E$78:$E$92,Laskentasivu!X17,Kustannukset!$G$78:$G$92,Laskentasivu!Z17),"")</f>
        <v/>
      </c>
      <c r="AC17" s="1" t="s">
        <v>27</v>
      </c>
      <c r="AE17" s="137">
        <f t="shared" si="1"/>
        <v>0</v>
      </c>
      <c r="AF17" s="137" cm="1">
        <f t="array" ref="AF17">_xlfn.IFS(V17="e/kg",IF(H17="kg",U17*G17),V17="e/m3",IF(H17="m3",U17*G17),V17="",0)</f>
        <v>0</v>
      </c>
      <c r="AG17" s="138" cm="1">
        <f t="array" ref="AG17">_xlfn.IFS(AND(AB17&lt;&gt;"",H17="kg"),K17*AB17*((G17/1000)/VLOOKUP(J17,Kustannukset!$B$79:$K$92,9,FALSE)),AND(AB17&lt;&gt;"",H17="m3"),K17*AB17*((G17*VLOOKUP(F17,Päästökertoimet!$C$5:$I$59,4,FALSE)/1000)/VLOOKUP(J17,Kustannukset!$B$79:$K$92,9,FALSE)),AB17="",0)</f>
        <v>0</v>
      </c>
    </row>
    <row r="18" spans="6:33" ht="14" thickBot="1" x14ac:dyDescent="0.3">
      <c r="F18" s="152" t="s">
        <v>31</v>
      </c>
      <c r="G18" s="153"/>
      <c r="H18" s="154" t="s">
        <v>32</v>
      </c>
      <c r="I18" s="99"/>
      <c r="J18" s="156" t="s">
        <v>33</v>
      </c>
      <c r="K18" s="278"/>
      <c r="L18" s="1" t="s">
        <v>65</v>
      </c>
      <c r="M18" s="137" t="str" cm="1">
        <f t="array" ref="M18">_xlfn.IFS(F18&lt;&gt;"Valitse neitseellinen materiaali",N18+O18,F18="Valitse neitseellinen materiaali","")</f>
        <v/>
      </c>
      <c r="N18" s="137" t="str" cm="1">
        <f t="array" ref="N18">_xlfn.IFS(H18="kg",VLOOKUP(F18,Päästökertoimet!$C$35:$I$59,2,FALSE)*G18,H18="m3",VLOOKUP(F18,Päästökertoimet!$C$35:$I$59,6,FALSE)*G18,F18="Valitse neitseellinen materiaali","")</f>
        <v/>
      </c>
      <c r="O18" s="138" t="str" cm="1">
        <f t="array" ref="O18">_xlfn.IFS(H18="kg",VLOOKUP(Laskentasivu!J18,Päästökertoimet!$M$5:$O$29,2,FALSE)*K18*(G18/1000),H18="m3",VLOOKUP(Laskentasivu!J18,Päästökertoimet!$M$5:$O$29,2,FALSE)*K18*G18*VLOOKUP(F18,Päästökertoimet!$C$35:$I$59,4,FALSE)/1000,F18="Valitse neitseellinen materiaali","")</f>
        <v/>
      </c>
      <c r="T18" s="28" t="str">
        <f t="shared" si="0"/>
        <v>Valitse neitseellinen materiaali</v>
      </c>
      <c r="U18" s="140" t="str" cm="1">
        <f t="array" ref="U18">IF(V18&lt;&gt;"",_xlfn.XLOOKUP(T18,Kustannukset!$B$15:$B$70,_xlfn.XLOOKUP(Laskentasivu!V18,Kustannukset!$C$14:$E$14,Kustannukset!$C$15:$E$70)),"")</f>
        <v/>
      </c>
      <c r="V18" s="133" t="str" cm="1">
        <f t="array" ref="V18">_xlfn.IFS(H18="kg",Aputaulukko!$F$11,H18="m3",Aputaulukko!$F$12,H18="Materiaalin yksikkö","")</f>
        <v/>
      </c>
      <c r="X18" s="285" t="s">
        <v>328</v>
      </c>
      <c r="Y18" s="1" t="s">
        <v>65</v>
      </c>
      <c r="Z18" s="285"/>
      <c r="AA18" s="1" t="s">
        <v>326</v>
      </c>
      <c r="AB18" s="170" t="str">
        <f>IF(Z18&lt;&gt;"",SUMIFS(Kustannukset!$C$78:$C$92,Kustannukset!$B$78:$B$92,Laskentasivu!J18,Kustannukset!$E$78:$E$92,Laskentasivu!X18,Kustannukset!$G$78:$G$92,Laskentasivu!Z18),"")</f>
        <v/>
      </c>
      <c r="AC18" s="1" t="s">
        <v>27</v>
      </c>
      <c r="AE18" s="137">
        <f t="shared" si="1"/>
        <v>0</v>
      </c>
      <c r="AF18" s="137" cm="1">
        <f t="array" ref="AF18">_xlfn.IFS(V18="e/kg",IF(H18="kg",U18*G18),V18="e/m3",IF(H18="m3",U18*G18),V18="",0)</f>
        <v>0</v>
      </c>
      <c r="AG18" s="138" cm="1">
        <f t="array" ref="AG18">_xlfn.IFS(AND(AB18&lt;&gt;"",H18="kg"),K18*AB18*((G18/1000)/VLOOKUP(J18,Kustannukset!$B$79:$K$92,9,FALSE)),AND(AB18&lt;&gt;"",H18="m3"),K18*AB18*((G18*VLOOKUP(F18,Päästökertoimet!$C$5:$I$59,4,FALSE)/1000)/VLOOKUP(J18,Kustannukset!$B$79:$K$92,9,FALSE)),AB18="",0)</f>
        <v>0</v>
      </c>
    </row>
    <row r="19" spans="6:33" ht="14" thickBot="1" x14ac:dyDescent="0.3">
      <c r="F19" s="152" t="s">
        <v>31</v>
      </c>
      <c r="G19" s="153"/>
      <c r="H19" s="154" t="s">
        <v>32</v>
      </c>
      <c r="I19" s="99"/>
      <c r="J19" s="156" t="s">
        <v>33</v>
      </c>
      <c r="K19" s="278"/>
      <c r="L19" s="1" t="s">
        <v>65</v>
      </c>
      <c r="M19" s="137" t="str" cm="1">
        <f t="array" ref="M19">_xlfn.IFS(F19&lt;&gt;"Valitse neitseellinen materiaali",N19+O19,F19="Valitse neitseellinen materiaali","")</f>
        <v/>
      </c>
      <c r="N19" s="137" t="str" cm="1">
        <f t="array" ref="N19">_xlfn.IFS(H19="kg",VLOOKUP(F19,Päästökertoimet!$C$35:$I$59,2,FALSE)*G19,H19="m3",VLOOKUP(F19,Päästökertoimet!$C$35:$I$59,6,FALSE)*G19,F19="Valitse neitseellinen materiaali","")</f>
        <v/>
      </c>
      <c r="O19" s="138" t="str" cm="1">
        <f t="array" ref="O19">_xlfn.IFS(H19="kg",VLOOKUP(Laskentasivu!J19,Päästökertoimet!$M$5:$O$29,2,FALSE)*K19*(G19/1000),H19="m3",VLOOKUP(Laskentasivu!J19,Päästökertoimet!$M$5:$O$29,2,FALSE)*K19*G19*VLOOKUP(F19,Päästökertoimet!$C$35:$I$59,4,FALSE)/1000,F19="Valitse neitseellinen materiaali","")</f>
        <v/>
      </c>
      <c r="T19" s="28" t="str">
        <f t="shared" si="0"/>
        <v>Valitse neitseellinen materiaali</v>
      </c>
      <c r="U19" s="140" t="str" cm="1">
        <f t="array" ref="U19">IF(V19&lt;&gt;"",_xlfn.XLOOKUP(T19,Kustannukset!$B$15:$B$70,_xlfn.XLOOKUP(Laskentasivu!V19,Kustannukset!$C$14:$E$14,Kustannukset!$C$15:$E$70)),"")</f>
        <v/>
      </c>
      <c r="V19" s="133" t="str" cm="1">
        <f t="array" ref="V19">_xlfn.IFS(H19="kg",Aputaulukko!$F$11,H19="m3",Aputaulukko!$F$12,H19="Materiaalin yksikkö","")</f>
        <v/>
      </c>
      <c r="X19" s="285" t="s">
        <v>328</v>
      </c>
      <c r="Y19" s="1" t="s">
        <v>65</v>
      </c>
      <c r="Z19" s="285"/>
      <c r="AA19" s="1" t="s">
        <v>326</v>
      </c>
      <c r="AB19" s="170" t="str">
        <f>IF(Z19&lt;&gt;"",SUMIFS(Kustannukset!$C$78:$C$92,Kustannukset!$B$78:$B$92,Laskentasivu!J19,Kustannukset!$E$78:$E$92,Laskentasivu!X19,Kustannukset!$G$78:$G$92,Laskentasivu!Z19),"")</f>
        <v/>
      </c>
      <c r="AC19" s="1" t="s">
        <v>27</v>
      </c>
      <c r="AE19" s="137">
        <f t="shared" si="1"/>
        <v>0</v>
      </c>
      <c r="AF19" s="137" cm="1">
        <f t="array" ref="AF19">_xlfn.IFS(V19="e/kg",IF(H19="kg",U19*G19),V19="e/m3",IF(H19="m3",U19*G19),V19="",0)</f>
        <v>0</v>
      </c>
      <c r="AG19" s="138" cm="1">
        <f t="array" ref="AG19">_xlfn.IFS(AND(AB19&lt;&gt;"",H19="kg"),K19*AB19*((G19/1000)/VLOOKUP(J19,Kustannukset!$B$79:$K$92,9,FALSE)),AND(AB19&lt;&gt;"",H19="m3"),K19*AB19*((G19*VLOOKUP(F19,Päästökertoimet!$C$5:$I$59,4,FALSE)/1000)/VLOOKUP(J19,Kustannukset!$B$79:$K$92,9,FALSE)),AB19="",0)</f>
        <v>0</v>
      </c>
    </row>
    <row r="20" spans="6:33" ht="14" thickBot="1" x14ac:dyDescent="0.3">
      <c r="F20" s="152" t="s">
        <v>31</v>
      </c>
      <c r="G20" s="153"/>
      <c r="H20" s="154" t="s">
        <v>32</v>
      </c>
      <c r="I20" s="99"/>
      <c r="J20" s="156" t="s">
        <v>33</v>
      </c>
      <c r="K20" s="278"/>
      <c r="L20" s="1" t="s">
        <v>65</v>
      </c>
      <c r="M20" s="137" t="str" cm="1">
        <f t="array" ref="M20">_xlfn.IFS(F20&lt;&gt;"Valitse neitseellinen materiaali",N20+O20,F20="Valitse neitseellinen materiaali","")</f>
        <v/>
      </c>
      <c r="N20" s="137" t="str" cm="1">
        <f t="array" ref="N20">_xlfn.IFS(H20="kg",VLOOKUP(F20,Päästökertoimet!$C$35:$I$59,2,FALSE)*G20,H20="m3",VLOOKUP(F20,Päästökertoimet!$C$35:$I$59,6,FALSE)*G20,F20="Valitse neitseellinen materiaali","")</f>
        <v/>
      </c>
      <c r="O20" s="138" t="str" cm="1">
        <f t="array" ref="O20">_xlfn.IFS(H20="kg",VLOOKUP(Laskentasivu!J20,Päästökertoimet!$M$5:$O$29,2,FALSE)*K20*(G20/1000),H20="m3",VLOOKUP(Laskentasivu!J20,Päästökertoimet!$M$5:$O$29,2,FALSE)*K20*G20*VLOOKUP(F20,Päästökertoimet!$C$35:$I$59,4,FALSE)/1000,F20="Valitse neitseellinen materiaali","")</f>
        <v/>
      </c>
      <c r="T20" s="28" t="str">
        <f t="shared" si="0"/>
        <v>Valitse neitseellinen materiaali</v>
      </c>
      <c r="U20" s="140" t="str" cm="1">
        <f t="array" ref="U20">IF(V20&lt;&gt;"",_xlfn.XLOOKUP(T20,Kustannukset!$B$15:$B$70,_xlfn.XLOOKUP(Laskentasivu!V20,Kustannukset!$C$14:$E$14,Kustannukset!$C$15:$E$70)),"")</f>
        <v/>
      </c>
      <c r="V20" s="133" t="str" cm="1">
        <f t="array" ref="V20">_xlfn.IFS(H20="kg",Aputaulukko!$F$11,H20="m3",Aputaulukko!$F$12,H20="Materiaalin yksikkö","")</f>
        <v/>
      </c>
      <c r="X20" s="285" t="s">
        <v>328</v>
      </c>
      <c r="Y20" s="1" t="s">
        <v>65</v>
      </c>
      <c r="Z20" s="285"/>
      <c r="AA20" s="1" t="s">
        <v>326</v>
      </c>
      <c r="AB20" s="170" t="str">
        <f>IF(Z20&lt;&gt;"",SUMIFS(Kustannukset!$C$78:$C$92,Kustannukset!$B$78:$B$92,Laskentasivu!J20,Kustannukset!$E$78:$E$92,Laskentasivu!X20,Kustannukset!$G$78:$G$92,Laskentasivu!Z20),"")</f>
        <v/>
      </c>
      <c r="AC20" s="1" t="s">
        <v>27</v>
      </c>
      <c r="AE20" s="137">
        <f t="shared" si="1"/>
        <v>0</v>
      </c>
      <c r="AF20" s="137" cm="1">
        <f t="array" ref="AF20">_xlfn.IFS(V20="e/kg",IF(H20="kg",U20*G20),V20="e/m3",IF(H20="m3",U20*G20),V20="",0)</f>
        <v>0</v>
      </c>
      <c r="AG20" s="138" cm="1">
        <f t="array" ref="AG20">_xlfn.IFS(AND(AB20&lt;&gt;"",H20="kg"),K20*AB20*((G20/1000)/VLOOKUP(J20,Kustannukset!$B$79:$K$92,9,FALSE)),AND(AB20&lt;&gt;"",H20="m3"),K20*AB20*((G20*VLOOKUP(F20,Päästökertoimet!$C$5:$I$59,4,FALSE)/1000)/VLOOKUP(J20,Kustannukset!$B$79:$K$92,9,FALSE)),AB20="",0)</f>
        <v>0</v>
      </c>
    </row>
    <row r="21" spans="6:33" ht="14" thickBot="1" x14ac:dyDescent="0.3">
      <c r="F21" s="152" t="s">
        <v>31</v>
      </c>
      <c r="G21" s="153"/>
      <c r="H21" s="154" t="s">
        <v>32</v>
      </c>
      <c r="I21" s="99"/>
      <c r="J21" s="156" t="s">
        <v>33</v>
      </c>
      <c r="K21" s="278"/>
      <c r="L21" s="1" t="s">
        <v>65</v>
      </c>
      <c r="M21" s="137" t="str" cm="1">
        <f t="array" ref="M21">_xlfn.IFS(F21&lt;&gt;"Valitse neitseellinen materiaali",N21+O21,F21="Valitse neitseellinen materiaali","")</f>
        <v/>
      </c>
      <c r="N21" s="137" t="str" cm="1">
        <f t="array" ref="N21">_xlfn.IFS(H21="kg",VLOOKUP(F21,Päästökertoimet!$C$35:$I$59,2,FALSE)*G21,H21="m3",VLOOKUP(F21,Päästökertoimet!$C$35:$I$59,6,FALSE)*G21,F21="Valitse neitseellinen materiaali","")</f>
        <v/>
      </c>
      <c r="O21" s="138" t="str" cm="1">
        <f t="array" ref="O21">_xlfn.IFS(H21="kg",VLOOKUP(Laskentasivu!J21,Päästökertoimet!$M$5:$O$29,2,FALSE)*K21*(G21/1000),H21="m3",VLOOKUP(Laskentasivu!J21,Päästökertoimet!$M$5:$O$29,2,FALSE)*K21*G21*VLOOKUP(F21,Päästökertoimet!$C$35:$I$59,4,FALSE)/1000,F21="Valitse neitseellinen materiaali","")</f>
        <v/>
      </c>
      <c r="T21" s="28" t="str">
        <f t="shared" si="0"/>
        <v>Valitse neitseellinen materiaali</v>
      </c>
      <c r="U21" s="140" t="str" cm="1">
        <f t="array" ref="U21">IF(V21&lt;&gt;"",_xlfn.XLOOKUP(T21,Kustannukset!$B$15:$B$70,_xlfn.XLOOKUP(Laskentasivu!V21,Kustannukset!$C$14:$E$14,Kustannukset!$C$15:$E$70)),"")</f>
        <v/>
      </c>
      <c r="V21" s="133" t="str" cm="1">
        <f t="array" ref="V21">_xlfn.IFS(H21="kg",Aputaulukko!$F$11,H21="m3",Aputaulukko!$F$12,H21="Materiaalin yksikkö","")</f>
        <v/>
      </c>
      <c r="X21" s="285" t="s">
        <v>328</v>
      </c>
      <c r="Y21" s="1" t="s">
        <v>65</v>
      </c>
      <c r="Z21" s="285"/>
      <c r="AA21" s="1" t="s">
        <v>326</v>
      </c>
      <c r="AB21" s="170" t="str">
        <f>IF(Z21&lt;&gt;"",SUMIFS(Kustannukset!$C$78:$C$92,Kustannukset!$B$78:$B$92,Laskentasivu!J21,Kustannukset!$E$78:$E$92,Laskentasivu!X21,Kustannukset!$G$78:$G$92,Laskentasivu!Z21),"")</f>
        <v/>
      </c>
      <c r="AC21" s="1" t="s">
        <v>27</v>
      </c>
      <c r="AE21" s="137">
        <f t="shared" si="1"/>
        <v>0</v>
      </c>
      <c r="AF21" s="137" cm="1">
        <f t="array" ref="AF21">_xlfn.IFS(V21="e/kg",IF(H21="kg",U21*G21),V21="e/m3",IF(H21="m3",U21*G21),V21="",0)</f>
        <v>0</v>
      </c>
      <c r="AG21" s="138" cm="1">
        <f t="array" ref="AG21">_xlfn.IFS(AND(AB21&lt;&gt;"",H21="kg"),K21*AB21*((G21/1000)/VLOOKUP(J21,Kustannukset!$B$79:$K$92,9,FALSE)),AND(AB21&lt;&gt;"",H21="m3"),K21*AB21*((G21*VLOOKUP(F21,Päästökertoimet!$C$5:$I$59,4,FALSE)/1000)/VLOOKUP(J21,Kustannukset!$B$79:$K$92,9,FALSE)),AB21="",0)</f>
        <v>0</v>
      </c>
    </row>
    <row r="22" spans="6:33" ht="14" thickBot="1" x14ac:dyDescent="0.3">
      <c r="F22" s="6" t="s">
        <v>34</v>
      </c>
      <c r="I22" s="4"/>
      <c r="L22"/>
      <c r="M22" s="137"/>
      <c r="N22" s="137"/>
      <c r="O22" s="138"/>
      <c r="T22" s="28"/>
      <c r="U22" s="141"/>
      <c r="AE22" s="137"/>
      <c r="AF22" s="137"/>
      <c r="AG22" s="138"/>
    </row>
    <row r="23" spans="6:33" ht="14" thickBot="1" x14ac:dyDescent="0.3">
      <c r="F23" s="157" t="s">
        <v>37</v>
      </c>
      <c r="G23" s="158"/>
      <c r="H23" s="159" t="s">
        <v>32</v>
      </c>
      <c r="I23" s="100"/>
      <c r="J23" s="161" t="s">
        <v>33</v>
      </c>
      <c r="K23" s="279"/>
      <c r="L23" s="1" t="s">
        <v>65</v>
      </c>
      <c r="M23" s="137" t="str" cm="1">
        <f t="array" ref="M23">_xlfn.IFS(F23&lt;&gt;"Valitse uusiomateriaali",N23+O23,F23="Valitse uusiomateriaali","")</f>
        <v/>
      </c>
      <c r="N23" s="137" t="str" cm="1">
        <f t="array" ref="N23">_xlfn.IFS(H23="kg",VLOOKUP(F23,Päästökertoimet!$C$5:$I$34,2,FALSE)*G23,H23="m3",VLOOKUP(F23,Päästökertoimet!$C$5:$I$34,6,FALSE)*G23,F23="Valitse uusiomateriaali","")</f>
        <v/>
      </c>
      <c r="O23" s="138" t="str" cm="1">
        <f t="array" ref="O23">_xlfn.IFS(H23="kg",VLOOKUP(Laskentasivu!J23,Päästökertoimet!$M$5:$O$29,2,FALSE)*K23*(G23/1000),H23="m3",VLOOKUP(Laskentasivu!J23,Päästökertoimet!$M$5:$O$29,2,FALSE)*K23*G23*VLOOKUP(F23,Päästökertoimet!$C$5:$I$34,4,FALSE)/1000,F23="Valitse uusiomateriaali","")</f>
        <v/>
      </c>
      <c r="T23" s="28" t="str">
        <f t="shared" si="0"/>
        <v>Valitse uusiomateriaali</v>
      </c>
      <c r="U23" s="140" t="str" cm="1">
        <f t="array" ref="U23">IF(V23&lt;&gt;"",_xlfn.XLOOKUP(T23,Kustannukset!$B$15:$B$70,_xlfn.XLOOKUP(Laskentasivu!V23,Kustannukset!$C$14:$E$14,Kustannukset!$C$15:$E$70)),"")</f>
        <v/>
      </c>
      <c r="V23" s="133" t="str" cm="1">
        <f t="array" ref="V23">_xlfn.IFS(H23="kg",Aputaulukko!$F$11,H23="m3",Aputaulukko!$F$12,H23="Materiaalin yksikkö","")</f>
        <v/>
      </c>
      <c r="X23" s="285"/>
      <c r="Y23" s="1" t="s">
        <v>65</v>
      </c>
      <c r="Z23" s="285"/>
      <c r="AA23" s="1" t="s">
        <v>326</v>
      </c>
      <c r="AB23" s="170" t="str">
        <f>IF(Z23&lt;&gt;"",SUMIFS(Kustannukset!$C$78:$C$92,Kustannukset!$B$78:$B$92,Laskentasivu!J23,Kustannukset!$E$78:$E$92,Laskentasivu!X23,Kustannukset!$G$78:$G$92,Laskentasivu!Z23),"")</f>
        <v/>
      </c>
      <c r="AC23" s="1" t="s">
        <v>27</v>
      </c>
      <c r="AE23" s="137">
        <f t="shared" si="1"/>
        <v>0</v>
      </c>
      <c r="AF23" s="137" cm="1">
        <f t="array" ref="AF23">_xlfn.IFS(V23="e/kg",IF(H23="kg",U23*G23),V23="e/m3",IF(H23="m3",U23*G23),V23="",0)</f>
        <v>0</v>
      </c>
      <c r="AG23" s="138" cm="1">
        <f t="array" ref="AG23">_xlfn.IFS(AND(AB23&lt;&gt;"",H23="kg"),K23*AB23*((G23/1000)/VLOOKUP(J23,Kustannukset!$B$79:$K$92,9,FALSE)),AND(AB23&lt;&gt;"",H23="m3"),K23*AB23*((G23*VLOOKUP(F23,Päästökertoimet!$C$5:$I$59,4,FALSE)/1000)/VLOOKUP(J23,Kustannukset!$B$79:$K$92,9,FALSE)),AB23="",0)</f>
        <v>0</v>
      </c>
    </row>
    <row r="24" spans="6:33" ht="14" thickBot="1" x14ac:dyDescent="0.3">
      <c r="F24" s="157" t="s">
        <v>37</v>
      </c>
      <c r="G24" s="158"/>
      <c r="H24" s="159" t="s">
        <v>32</v>
      </c>
      <c r="I24" s="99"/>
      <c r="J24" s="161" t="s">
        <v>33</v>
      </c>
      <c r="K24" s="279"/>
      <c r="L24" s="1" t="s">
        <v>65</v>
      </c>
      <c r="M24" s="137" t="str" cm="1">
        <f t="array" ref="M24">_xlfn.IFS(F24&lt;&gt;"Valitse uusiomateriaali",N24+O24,F24="Valitse uusiomateriaali","")</f>
        <v/>
      </c>
      <c r="N24" s="137" t="str" cm="1">
        <f t="array" ref="N24">_xlfn.IFS(H24="kg",VLOOKUP(F24,Päästökertoimet!$C$5:$I$34,2,FALSE)*G24,H24="m3",VLOOKUP(F24,Päästökertoimet!$C$5:$I$34,6,FALSE)*G24,F24="Valitse uusiomateriaali","")</f>
        <v/>
      </c>
      <c r="O24" s="138" t="str" cm="1">
        <f t="array" ref="O24">_xlfn.IFS(H24="kg",VLOOKUP(Laskentasivu!J24,Päästökertoimet!$M$5:$O$29,2,FALSE)*K24*(G24/1000),H24="m3",VLOOKUP(Laskentasivu!J24,Päästökertoimet!$M$5:$O$29,2,FALSE)*K24*G24*VLOOKUP(F24,Päästökertoimet!$C$5:$I$34,4,FALSE)/1000,F24="Valitse uusiomateriaali","")</f>
        <v/>
      </c>
      <c r="T24" s="28" t="str">
        <f t="shared" si="0"/>
        <v>Valitse uusiomateriaali</v>
      </c>
      <c r="U24" s="140" t="str" cm="1">
        <f t="array" ref="U24">IF(V24&lt;&gt;"",_xlfn.XLOOKUP(T24,Kustannukset!$B$15:$B$70,_xlfn.XLOOKUP(Laskentasivu!V24,Kustannukset!$C$14:$E$14,Kustannukset!$C$15:$E$70)),"")</f>
        <v/>
      </c>
      <c r="V24" s="133" t="str" cm="1">
        <f t="array" ref="V24">_xlfn.IFS(H24="kg",Aputaulukko!$F$11,H24="m3",Aputaulukko!$F$12,H24="Materiaalin yksikkö","")</f>
        <v/>
      </c>
      <c r="X24" s="285"/>
      <c r="Y24" s="1" t="s">
        <v>65</v>
      </c>
      <c r="Z24" s="285"/>
      <c r="AA24" s="1" t="s">
        <v>326</v>
      </c>
      <c r="AB24" s="170" t="str">
        <f>IF(Z24&lt;&gt;"",SUMIFS(Kustannukset!$C$78:$C$92,Kustannukset!$B$78:$B$92,Laskentasivu!J24,Kustannukset!$E$78:$E$92,Laskentasivu!X24,Kustannukset!$G$78:$G$92,Laskentasivu!Z24),"")</f>
        <v/>
      </c>
      <c r="AC24" s="1" t="s">
        <v>27</v>
      </c>
      <c r="AE24" s="137">
        <f t="shared" si="1"/>
        <v>0</v>
      </c>
      <c r="AF24" s="137" cm="1">
        <f t="array" ref="AF24">_xlfn.IFS(V24="e/kg",IF(H24="kg",U24*G24),V24="e/m3",IF(H24="m3",U24*G24),V24="",0)</f>
        <v>0</v>
      </c>
      <c r="AG24" s="138" cm="1">
        <f t="array" ref="AG24">_xlfn.IFS(AND(AB24&lt;&gt;"",H24="kg"),K24*AB24*((G24/1000)/VLOOKUP(J24,Kustannukset!$B$79:$K$92,9,FALSE)),AND(AB24&lt;&gt;"",H24="m3"),K24*AB24*((G24*VLOOKUP(F24,Päästökertoimet!$C$5:$I$59,4,FALSE)/1000)/VLOOKUP(J24,Kustannukset!$B$79:$K$92,9,FALSE)),AB24="",0)</f>
        <v>0</v>
      </c>
    </row>
    <row r="25" spans="6:33" ht="14" thickBot="1" x14ac:dyDescent="0.3">
      <c r="F25" s="157" t="s">
        <v>37</v>
      </c>
      <c r="G25" s="158"/>
      <c r="H25" s="159" t="s">
        <v>32</v>
      </c>
      <c r="I25" s="99"/>
      <c r="J25" s="161" t="s">
        <v>33</v>
      </c>
      <c r="K25" s="279"/>
      <c r="L25" s="1" t="s">
        <v>65</v>
      </c>
      <c r="M25" s="137" t="str" cm="1">
        <f t="array" ref="M25">_xlfn.IFS(F25&lt;&gt;"Valitse uusiomateriaali",N25+O25,F25="Valitse uusiomateriaali","")</f>
        <v/>
      </c>
      <c r="N25" s="137" t="str" cm="1">
        <f t="array" ref="N25">_xlfn.IFS(H25="kg",VLOOKUP(F25,Päästökertoimet!$C$5:$I$34,2,FALSE)*G25,H25="m3",VLOOKUP(F25,Päästökertoimet!$C$5:$I$34,6,FALSE)*G25,F25="Valitse uusiomateriaali","")</f>
        <v/>
      </c>
      <c r="O25" s="138" t="str" cm="1">
        <f t="array" ref="O25">_xlfn.IFS(H25="kg",VLOOKUP(Laskentasivu!J25,Päästökertoimet!$M$5:$O$29,2,FALSE)*K25*(G25/1000),H25="m3",VLOOKUP(Laskentasivu!J25,Päästökertoimet!$M$5:$O$29,2,FALSE)*K25*G25*VLOOKUP(F25,Päästökertoimet!$C$5:$I$34,4,FALSE)/1000,F25="Valitse uusiomateriaali","")</f>
        <v/>
      </c>
      <c r="T25" s="28" t="str">
        <f t="shared" si="0"/>
        <v>Valitse uusiomateriaali</v>
      </c>
      <c r="U25" s="140" t="str" cm="1">
        <f t="array" ref="U25">IF(V25&lt;&gt;"",_xlfn.XLOOKUP(T25,Kustannukset!$B$15:$B$70,_xlfn.XLOOKUP(Laskentasivu!V25,Kustannukset!$C$14:$E$14,Kustannukset!$C$15:$E$70)),"")</f>
        <v/>
      </c>
      <c r="V25" s="133" t="str" cm="1">
        <f t="array" ref="V25">_xlfn.IFS(H25="kg",Aputaulukko!$F$11,H25="m3",Aputaulukko!$F$12,H25="Materiaalin yksikkö","")</f>
        <v/>
      </c>
      <c r="X25" s="285"/>
      <c r="Y25" s="1" t="s">
        <v>65</v>
      </c>
      <c r="Z25" s="285"/>
      <c r="AA25" s="1" t="s">
        <v>326</v>
      </c>
      <c r="AB25" s="170" t="str">
        <f>IF(Z25&lt;&gt;"",SUMIFS(Kustannukset!$C$78:$C$92,Kustannukset!$B$78:$B$92,Laskentasivu!J25,Kustannukset!$E$78:$E$92,Laskentasivu!X25,Kustannukset!$G$78:$G$92,Laskentasivu!Z25),"")</f>
        <v/>
      </c>
      <c r="AC25" s="1" t="s">
        <v>27</v>
      </c>
      <c r="AE25" s="137">
        <f t="shared" si="1"/>
        <v>0</v>
      </c>
      <c r="AF25" s="137" cm="1">
        <f t="array" ref="AF25">_xlfn.IFS(V25="e/kg",IF(H25="kg",U25*G25),V25="e/m3",IF(H25="m3",U25*G25),V25="",0)</f>
        <v>0</v>
      </c>
      <c r="AG25" s="138" cm="1">
        <f t="array" ref="AG25">_xlfn.IFS(AND(AB25&lt;&gt;"",H25="kg"),K25*AB25*((G25/1000)/VLOOKUP(J25,Kustannukset!$B$79:$K$92,9,FALSE)),AND(AB25&lt;&gt;"",H25="m3"),K25*AB25*((G25*VLOOKUP(F25,Päästökertoimet!$C$5:$I$59,4,FALSE)/1000)/VLOOKUP(J25,Kustannukset!$B$79:$K$92,9,FALSE)),AB25="",0)</f>
        <v>0</v>
      </c>
    </row>
    <row r="26" spans="6:33" ht="14" thickBot="1" x14ac:dyDescent="0.3">
      <c r="F26" s="157" t="s">
        <v>37</v>
      </c>
      <c r="G26" s="158"/>
      <c r="H26" s="159" t="s">
        <v>32</v>
      </c>
      <c r="I26" s="99"/>
      <c r="J26" s="161" t="s">
        <v>33</v>
      </c>
      <c r="K26" s="279"/>
      <c r="L26" s="1" t="s">
        <v>65</v>
      </c>
      <c r="M26" s="137" t="str" cm="1">
        <f t="array" ref="M26">_xlfn.IFS(F26&lt;&gt;"Valitse uusiomateriaali",N26+O26,F26="Valitse uusiomateriaali","")</f>
        <v/>
      </c>
      <c r="N26" s="137" t="str" cm="1">
        <f t="array" ref="N26">_xlfn.IFS(H26="kg",VLOOKUP(F26,Päästökertoimet!$C$5:$I$34,2,FALSE)*G26,H26="m3",VLOOKUP(F26,Päästökertoimet!$C$5:$I$34,6,FALSE)*G26,F26="Valitse uusiomateriaali","")</f>
        <v/>
      </c>
      <c r="O26" s="138" t="str" cm="1">
        <f t="array" ref="O26">_xlfn.IFS(H26="kg",VLOOKUP(Laskentasivu!J26,Päästökertoimet!$M$5:$O$29,2,FALSE)*K26*(G26/1000),H26="m3",VLOOKUP(Laskentasivu!J26,Päästökertoimet!$M$5:$O$29,2,FALSE)*K26*G26*VLOOKUP(F26,Päästökertoimet!$C$5:$I$34,4,FALSE)/1000,F26="Valitse uusiomateriaali","")</f>
        <v/>
      </c>
      <c r="T26" s="28" t="str">
        <f t="shared" si="0"/>
        <v>Valitse uusiomateriaali</v>
      </c>
      <c r="U26" s="140" t="str" cm="1">
        <f t="array" ref="U26">IF(V26&lt;&gt;"",_xlfn.XLOOKUP(T26,Kustannukset!$B$15:$B$70,_xlfn.XLOOKUP(Laskentasivu!V26,Kustannukset!$C$14:$E$14,Kustannukset!$C$15:$E$70)),"")</f>
        <v/>
      </c>
      <c r="V26" s="133" t="str" cm="1">
        <f t="array" ref="V26">_xlfn.IFS(H26="kg",Aputaulukko!$F$11,H26="m3",Aputaulukko!$F$12,H26="Materiaalin yksikkö","")</f>
        <v/>
      </c>
      <c r="X26" s="285"/>
      <c r="Y26" s="1" t="s">
        <v>65</v>
      </c>
      <c r="Z26" s="285"/>
      <c r="AA26" s="1" t="s">
        <v>326</v>
      </c>
      <c r="AB26" s="170" t="str">
        <f>IF(Z26&lt;&gt;"",SUMIFS(Kustannukset!$C$78:$C$92,Kustannukset!$B$78:$B$92,Laskentasivu!J26,Kustannukset!$E$78:$E$92,Laskentasivu!X26,Kustannukset!$G$78:$G$92,Laskentasivu!Z26),"")</f>
        <v/>
      </c>
      <c r="AC26" s="1" t="s">
        <v>27</v>
      </c>
      <c r="AE26" s="137">
        <f t="shared" si="1"/>
        <v>0</v>
      </c>
      <c r="AF26" s="137" cm="1">
        <f t="array" ref="AF26">_xlfn.IFS(V26="e/kg",IF(H26="kg",U26*G26),V26="e/m3",IF(H26="m3",U26*G26),V26="",0)</f>
        <v>0</v>
      </c>
      <c r="AG26" s="138" cm="1">
        <f t="array" ref="AG26">_xlfn.IFS(AND(AB26&lt;&gt;"",H26="kg"),K26*AB26*((G26/1000)/VLOOKUP(J26,Kustannukset!$B$79:$K$92,9,FALSE)),AND(AB26&lt;&gt;"",H26="m3"),K26*AB26*((G26*VLOOKUP(F26,Päästökertoimet!$C$5:$I$59,4,FALSE)/1000)/VLOOKUP(J26,Kustannukset!$B$79:$K$92,9,FALSE)),AB26="",0)</f>
        <v>0</v>
      </c>
    </row>
    <row r="27" spans="6:33" ht="14" thickBot="1" x14ac:dyDescent="0.3">
      <c r="F27" s="157" t="s">
        <v>37</v>
      </c>
      <c r="G27" s="158"/>
      <c r="H27" s="159" t="s">
        <v>32</v>
      </c>
      <c r="I27" s="99"/>
      <c r="J27" s="161" t="s">
        <v>33</v>
      </c>
      <c r="K27" s="280"/>
      <c r="L27" s="1" t="s">
        <v>65</v>
      </c>
      <c r="M27" s="137" t="str" cm="1">
        <f t="array" ref="M27">_xlfn.IFS(F27&lt;&gt;"Valitse uusiomateriaali",N27+O27,F27="Valitse uusiomateriaali","")</f>
        <v/>
      </c>
      <c r="N27" s="137" t="str" cm="1">
        <f t="array" ref="N27">_xlfn.IFS(H27="kg",VLOOKUP(F27,Päästökertoimet!$C$5:$I$34,2,FALSE)*G27,H27="m3",VLOOKUP(F27,Päästökertoimet!$C$5:$I$34,6,FALSE)*G27,F27="Valitse uusiomateriaali","")</f>
        <v/>
      </c>
      <c r="O27" s="138" t="str" cm="1">
        <f t="array" ref="O27">_xlfn.IFS(H27="kg",VLOOKUP(Laskentasivu!J27,Päästökertoimet!$M$5:$O$29,2,FALSE)*K27*(G27/1000),H27="m3",VLOOKUP(Laskentasivu!J27,Päästökertoimet!$M$5:$O$29,2,FALSE)*K27*G27*VLOOKUP(F27,Päästökertoimet!$C$5:$I$34,4,FALSE)/1000,F27="Valitse uusiomateriaali","")</f>
        <v/>
      </c>
      <c r="T27" s="28" t="str">
        <f t="shared" si="0"/>
        <v>Valitse uusiomateriaali</v>
      </c>
      <c r="U27" s="140" t="str" cm="1">
        <f t="array" ref="U27">IF(V27&lt;&gt;"",_xlfn.XLOOKUP(T27,Kustannukset!$B$15:$B$70,_xlfn.XLOOKUP(Laskentasivu!V27,Kustannukset!$C$14:$E$14,Kustannukset!$C$15:$E$70)),"")</f>
        <v/>
      </c>
      <c r="V27" s="133" t="str" cm="1">
        <f t="array" ref="V27">_xlfn.IFS(H27="kg",Aputaulukko!$F$11,H27="m3",Aputaulukko!$F$12,H27="Materiaalin yksikkö","")</f>
        <v/>
      </c>
      <c r="X27" s="285"/>
      <c r="Y27" s="1" t="s">
        <v>65</v>
      </c>
      <c r="Z27" s="285"/>
      <c r="AA27" s="1" t="s">
        <v>326</v>
      </c>
      <c r="AB27" s="170" t="str">
        <f>IF(Z27&lt;&gt;"",SUMIFS(Kustannukset!$C$78:$C$92,Kustannukset!$B$78:$B$92,Laskentasivu!J27,Kustannukset!$E$78:$E$92,Laskentasivu!X27,Kustannukset!$G$78:$G$92,Laskentasivu!Z27),"")</f>
        <v/>
      </c>
      <c r="AC27" s="1" t="s">
        <v>27</v>
      </c>
      <c r="AE27" s="137">
        <f t="shared" si="1"/>
        <v>0</v>
      </c>
      <c r="AF27" s="137" cm="1">
        <f t="array" ref="AF27">_xlfn.IFS(V27="e/kg",IF(H27="kg",U27*G27),V27="e/m3",IF(H27="m3",U27*G27),V27="",0)</f>
        <v>0</v>
      </c>
      <c r="AG27" s="138" cm="1">
        <f t="array" ref="AG27">_xlfn.IFS(AND(AB27&lt;&gt;"",H27="kg"),K27*AB27*((G27/1000)/VLOOKUP(J27,Kustannukset!$B$79:$K$92,9,FALSE)),AND(AB27&lt;&gt;"",H27="m3"),K27*AB27*((G27*VLOOKUP(F27,Päästökertoimet!$C$5:$I$59,4,FALSE)/1000)/VLOOKUP(J27,Kustannukset!$B$79:$K$92,9,FALSE)),AB27="",0)</f>
        <v>0</v>
      </c>
    </row>
    <row r="28" spans="6:33" ht="14" thickBot="1" x14ac:dyDescent="0.3">
      <c r="F28" s="157" t="s">
        <v>37</v>
      </c>
      <c r="G28" s="158"/>
      <c r="H28" s="159" t="s">
        <v>32</v>
      </c>
      <c r="I28" s="99"/>
      <c r="J28" s="161" t="s">
        <v>33</v>
      </c>
      <c r="K28" s="280"/>
      <c r="L28" s="1" t="s">
        <v>65</v>
      </c>
      <c r="M28" s="137" t="str" cm="1">
        <f t="array" ref="M28">_xlfn.IFS(F28&lt;&gt;"Valitse uusiomateriaali",N28+O28,F28="Valitse uusiomateriaali","")</f>
        <v/>
      </c>
      <c r="N28" s="137" t="str" cm="1">
        <f t="array" ref="N28">_xlfn.IFS(H28="kg",VLOOKUP(F28,Päästökertoimet!$C$5:$I$34,2,FALSE)*G28,H28="m3",VLOOKUP(F28,Päästökertoimet!$C$5:$I$34,6,FALSE)*G28,F28="Valitse uusiomateriaali","")</f>
        <v/>
      </c>
      <c r="O28" s="138" t="str" cm="1">
        <f t="array" ref="O28">_xlfn.IFS(H28="kg",VLOOKUP(Laskentasivu!J28,Päästökertoimet!$M$5:$O$29,2,FALSE)*K28*(G28/1000),H28="m3",VLOOKUP(Laskentasivu!J28,Päästökertoimet!$M$5:$O$29,2,FALSE)*K28*G28*VLOOKUP(F28,Päästökertoimet!$C$5:$I$34,4,FALSE)/1000,F28="Valitse uusiomateriaali","")</f>
        <v/>
      </c>
      <c r="T28" s="28" t="str">
        <f t="shared" si="0"/>
        <v>Valitse uusiomateriaali</v>
      </c>
      <c r="U28" s="140" t="str" cm="1">
        <f t="array" ref="U28">IF(V28&lt;&gt;"",_xlfn.XLOOKUP(T28,Kustannukset!$B$15:$B$70,_xlfn.XLOOKUP(Laskentasivu!V28,Kustannukset!$C$14:$E$14,Kustannukset!$C$15:$E$70)),"")</f>
        <v/>
      </c>
      <c r="V28" s="133" t="str" cm="1">
        <f t="array" ref="V28">_xlfn.IFS(H28="kg",Aputaulukko!$F$11,H28="m3",Aputaulukko!$F$12,H28="Materiaalin yksikkö","")</f>
        <v/>
      </c>
      <c r="X28" s="285"/>
      <c r="Y28" s="1" t="s">
        <v>65</v>
      </c>
      <c r="Z28" s="285"/>
      <c r="AA28" s="1" t="s">
        <v>326</v>
      </c>
      <c r="AB28" s="170" t="str">
        <f>IF(Z28&lt;&gt;"",SUMIFS(Kustannukset!$C$78:$C$92,Kustannukset!$B$78:$B$92,Laskentasivu!J28,Kustannukset!$E$78:$E$92,Laskentasivu!X28,Kustannukset!$G$78:$G$92,Laskentasivu!Z28),"")</f>
        <v/>
      </c>
      <c r="AC28" s="1" t="s">
        <v>27</v>
      </c>
      <c r="AE28" s="137">
        <f t="shared" si="1"/>
        <v>0</v>
      </c>
      <c r="AF28" s="137" cm="1">
        <f t="array" ref="AF28">_xlfn.IFS(V28="e/kg",IF(H28="kg",U28*G28),V28="e/m3",IF(H28="m3",U28*G28),V28="",0)</f>
        <v>0</v>
      </c>
      <c r="AG28" s="138" cm="1">
        <f t="array" ref="AG28">_xlfn.IFS(AND(AB28&lt;&gt;"",H28="kg"),K28*AB28*((G28/1000)/VLOOKUP(J28,Kustannukset!$B$79:$K$92,9,FALSE)),AND(AB28&lt;&gt;"",H28="m3"),K28*AB28*((G28*VLOOKUP(F28,Päästökertoimet!$C$5:$I$59,4,FALSE)/1000)/VLOOKUP(J28,Kustannukset!$B$79:$K$92,9,FALSE)),AB28="",0)</f>
        <v>0</v>
      </c>
    </row>
    <row r="29" spans="6:33" ht="14" thickBot="1" x14ac:dyDescent="0.3">
      <c r="F29" s="157" t="s">
        <v>37</v>
      </c>
      <c r="G29" s="158"/>
      <c r="H29" s="159" t="s">
        <v>32</v>
      </c>
      <c r="I29" s="99"/>
      <c r="J29" s="161" t="s">
        <v>33</v>
      </c>
      <c r="K29" s="280"/>
      <c r="L29" s="1" t="s">
        <v>65</v>
      </c>
      <c r="M29" s="137" t="str" cm="1">
        <f t="array" ref="M29">_xlfn.IFS(F29&lt;&gt;"Valitse uusiomateriaali",N29+O29,F29="Valitse uusiomateriaali","")</f>
        <v/>
      </c>
      <c r="N29" s="137" t="str" cm="1">
        <f t="array" ref="N29">_xlfn.IFS(H29="kg",VLOOKUP(F29,Päästökertoimet!$C$5:$I$34,2,FALSE)*G29,H29="m3",VLOOKUP(F29,Päästökertoimet!$C$5:$I$34,6,FALSE)*G29,F29="Valitse uusiomateriaali","")</f>
        <v/>
      </c>
      <c r="O29" s="138" t="str" cm="1">
        <f t="array" ref="O29">_xlfn.IFS(H29="kg",VLOOKUP(Laskentasivu!J29,Päästökertoimet!$M$5:$O$29,2,FALSE)*K29*(G29/1000),H29="m3",VLOOKUP(Laskentasivu!J29,Päästökertoimet!$M$5:$O$29,2,FALSE)*K29*G29*VLOOKUP(F29,Päästökertoimet!$C$5:$I$34,4,FALSE)/1000,F29="Valitse uusiomateriaali","")</f>
        <v/>
      </c>
      <c r="T29" s="28" t="str">
        <f t="shared" si="0"/>
        <v>Valitse uusiomateriaali</v>
      </c>
      <c r="U29" s="140" t="str" cm="1">
        <f t="array" ref="U29">IF(V29&lt;&gt;"",_xlfn.XLOOKUP(T29,Kustannukset!$B$15:$B$70,_xlfn.XLOOKUP(Laskentasivu!V29,Kustannukset!$C$14:$E$14,Kustannukset!$C$15:$E$70)),"")</f>
        <v/>
      </c>
      <c r="V29" s="133" t="str" cm="1">
        <f t="array" ref="V29">_xlfn.IFS(H29="kg",Aputaulukko!$F$11,H29="m3",Aputaulukko!$F$12,H29="Materiaalin yksikkö","")</f>
        <v/>
      </c>
      <c r="X29" s="285"/>
      <c r="Y29" s="1" t="s">
        <v>65</v>
      </c>
      <c r="Z29" s="285"/>
      <c r="AA29" s="1" t="s">
        <v>326</v>
      </c>
      <c r="AB29" s="170" t="str">
        <f>IF(Z29&lt;&gt;"",SUMIFS(Kustannukset!$C$78:$C$92,Kustannukset!$B$78:$B$92,Laskentasivu!J29,Kustannukset!$E$78:$E$92,Laskentasivu!X29,Kustannukset!$G$78:$G$92,Laskentasivu!Z29),"")</f>
        <v/>
      </c>
      <c r="AC29" s="1" t="s">
        <v>27</v>
      </c>
      <c r="AE29" s="137">
        <f t="shared" si="1"/>
        <v>0</v>
      </c>
      <c r="AF29" s="137" cm="1">
        <f t="array" ref="AF29">_xlfn.IFS(V29="e/kg",IF(H29="kg",U29*G29),V29="e/m3",IF(H29="m3",U29*G29),V29="",0)</f>
        <v>0</v>
      </c>
      <c r="AG29" s="138" cm="1">
        <f t="array" ref="AG29">_xlfn.IFS(AND(AB29&lt;&gt;"",H29="kg"),K29*AB29*((G29/1000)/VLOOKUP(J29,Kustannukset!$B$79:$K$92,9,FALSE)),AND(AB29&lt;&gt;"",H29="m3"),K29*AB29*((G29*VLOOKUP(F29,Päästökertoimet!$C$5:$I$59,4,FALSE)/1000)/VLOOKUP(J29,Kustannukset!$B$79:$K$92,9,FALSE)),AB29="",0)</f>
        <v>0</v>
      </c>
    </row>
    <row r="30" spans="6:33" ht="14" thickBot="1" x14ac:dyDescent="0.3">
      <c r="F30" s="157" t="s">
        <v>37</v>
      </c>
      <c r="G30" s="158"/>
      <c r="H30" s="159" t="s">
        <v>32</v>
      </c>
      <c r="I30" s="99"/>
      <c r="J30" s="161" t="s">
        <v>33</v>
      </c>
      <c r="K30" s="280"/>
      <c r="L30" s="1" t="s">
        <v>65</v>
      </c>
      <c r="M30" s="137" t="str" cm="1">
        <f t="array" ref="M30">_xlfn.IFS(F30&lt;&gt;"Valitse uusiomateriaali",N30+O30,F30="Valitse uusiomateriaali","")</f>
        <v/>
      </c>
      <c r="N30" s="137" t="str" cm="1">
        <f t="array" ref="N30">_xlfn.IFS(H30="kg",VLOOKUP(F30,Päästökertoimet!$C$5:$I$34,2,FALSE)*G30,H30="m3",VLOOKUP(F30,Päästökertoimet!$C$5:$I$34,6,FALSE)*G30,F30="Valitse uusiomateriaali","")</f>
        <v/>
      </c>
      <c r="O30" s="138" t="str" cm="1">
        <f t="array" ref="O30">_xlfn.IFS(H30="kg",VLOOKUP(Laskentasivu!J30,Päästökertoimet!$M$5:$O$29,2,FALSE)*K30*(G30/1000),H30="m3",VLOOKUP(Laskentasivu!J30,Päästökertoimet!$M$5:$O$29,2,FALSE)*K30*G30*VLOOKUP(F30,Päästökertoimet!$C$5:$I$34,4,FALSE)/1000,F30="Valitse uusiomateriaali","")</f>
        <v/>
      </c>
      <c r="T30" s="28" t="str">
        <f t="shared" si="0"/>
        <v>Valitse uusiomateriaali</v>
      </c>
      <c r="U30" s="140" t="str" cm="1">
        <f t="array" ref="U30">IF(V30&lt;&gt;"",_xlfn.XLOOKUP(T30,Kustannukset!$B$15:$B$70,_xlfn.XLOOKUP(Laskentasivu!V30,Kustannukset!$C$14:$E$14,Kustannukset!$C$15:$E$70)),"")</f>
        <v/>
      </c>
      <c r="V30" s="133" t="str" cm="1">
        <f t="array" ref="V30">_xlfn.IFS(H30="kg",Aputaulukko!$F$11,H30="m3",Aputaulukko!$F$12,H30="Materiaalin yksikkö","")</f>
        <v/>
      </c>
      <c r="X30" s="285"/>
      <c r="Y30" s="1" t="s">
        <v>65</v>
      </c>
      <c r="Z30" s="285"/>
      <c r="AA30" s="1" t="s">
        <v>326</v>
      </c>
      <c r="AB30" s="170" t="str">
        <f>IF(Z30&lt;&gt;"",SUMIFS(Kustannukset!$C$78:$C$92,Kustannukset!$B$78:$B$92,Laskentasivu!J30,Kustannukset!$E$78:$E$92,Laskentasivu!X30,Kustannukset!$G$78:$G$92,Laskentasivu!Z30),"")</f>
        <v/>
      </c>
      <c r="AC30" s="1" t="s">
        <v>27</v>
      </c>
      <c r="AE30" s="137">
        <f t="shared" si="1"/>
        <v>0</v>
      </c>
      <c r="AF30" s="137" cm="1">
        <f t="array" ref="AF30">_xlfn.IFS(V30="e/kg",IF(H30="kg",U30*G30),V30="e/m3",IF(H30="m3",U30*G30),V30="",0)</f>
        <v>0</v>
      </c>
      <c r="AG30" s="138" cm="1">
        <f t="array" ref="AG30">_xlfn.IFS(AND(AB30&lt;&gt;"",H30="kg"),K30*AB30*((G30/1000)/VLOOKUP(J30,Kustannukset!$B$79:$K$92,9,FALSE)),AND(AB30&lt;&gt;"",H30="m3"),K30*AB30*((G30*VLOOKUP(F30,Päästökertoimet!$C$5:$I$59,4,FALSE)/1000)/VLOOKUP(J30,Kustannukset!$B$79:$K$92,9,FALSE)),AB30="",0)</f>
        <v>0</v>
      </c>
    </row>
    <row r="31" spans="6:33" ht="14" thickBot="1" x14ac:dyDescent="0.3">
      <c r="F31" s="157" t="s">
        <v>37</v>
      </c>
      <c r="G31" s="158"/>
      <c r="H31" s="159" t="s">
        <v>32</v>
      </c>
      <c r="I31" s="99"/>
      <c r="J31" s="161" t="s">
        <v>33</v>
      </c>
      <c r="K31" s="280"/>
      <c r="L31" s="1" t="s">
        <v>65</v>
      </c>
      <c r="M31" s="137" t="str" cm="1">
        <f t="array" ref="M31">_xlfn.IFS(F31&lt;&gt;"Valitse uusiomateriaali",N31+O31,F31="Valitse uusiomateriaali","")</f>
        <v/>
      </c>
      <c r="N31" s="137" t="str" cm="1">
        <f t="array" ref="N31">_xlfn.IFS(H31="kg",VLOOKUP(F31,Päästökertoimet!$C$5:$I$34,2,FALSE)*G31,H31="m3",VLOOKUP(F31,Päästökertoimet!$C$5:$I$34,6,FALSE)*G31,F31="Valitse uusiomateriaali","")</f>
        <v/>
      </c>
      <c r="O31" s="138" t="str" cm="1">
        <f t="array" ref="O31">_xlfn.IFS(H31="kg",VLOOKUP(Laskentasivu!J31,Päästökertoimet!$M$5:$O$29,2,FALSE)*K31*(G31/1000),H31="m3",VLOOKUP(Laskentasivu!J31,Päästökertoimet!$M$5:$O$29,2,FALSE)*K31*G31*VLOOKUP(F31,Päästökertoimet!$C$5:$I$34,4,FALSE)/1000,F31="Valitse uusiomateriaali","")</f>
        <v/>
      </c>
      <c r="T31" s="28" t="str">
        <f t="shared" si="0"/>
        <v>Valitse uusiomateriaali</v>
      </c>
      <c r="U31" s="140" t="str" cm="1">
        <f t="array" ref="U31">IF(V31&lt;&gt;"",_xlfn.XLOOKUP(T31,Kustannukset!$B$15:$B$70,_xlfn.XLOOKUP(Laskentasivu!V31,Kustannukset!$C$14:$E$14,Kustannukset!$C$15:$E$70)),"")</f>
        <v/>
      </c>
      <c r="V31" s="133" t="str" cm="1">
        <f t="array" ref="V31">_xlfn.IFS(H31="kg",Aputaulukko!$F$11,H31="m3",Aputaulukko!$F$12,H31="Materiaalin yksikkö","")</f>
        <v/>
      </c>
      <c r="X31" s="285"/>
      <c r="Y31" s="1" t="s">
        <v>65</v>
      </c>
      <c r="Z31" s="285"/>
      <c r="AA31" s="1" t="s">
        <v>326</v>
      </c>
      <c r="AB31" s="170" t="str">
        <f>IF(Z31&lt;&gt;"",SUMIFS(Kustannukset!$C$78:$C$92,Kustannukset!$B$78:$B$92,Laskentasivu!J31,Kustannukset!$E$78:$E$92,Laskentasivu!X31,Kustannukset!$G$78:$G$92,Laskentasivu!Z31),"")</f>
        <v/>
      </c>
      <c r="AC31" s="1" t="s">
        <v>27</v>
      </c>
      <c r="AE31" s="137">
        <f t="shared" si="1"/>
        <v>0</v>
      </c>
      <c r="AF31" s="137" cm="1">
        <f t="array" ref="AF31">_xlfn.IFS(V31="e/kg",IF(H31="kg",U31*G31),V31="e/m3",IF(H31="m3",U31*G31),V31="",0)</f>
        <v>0</v>
      </c>
      <c r="AG31" s="138" cm="1">
        <f t="array" ref="AG31">_xlfn.IFS(AND(AB31&lt;&gt;"",H31="kg"),K31*AB31*((G31/1000)/VLOOKUP(J31,Kustannukset!$B$79:$K$92,9,FALSE)),AND(AB31&lt;&gt;"",H31="m3"),K31*AB31*((G31*VLOOKUP(F31,Päästökertoimet!$C$5:$I$59,4,FALSE)/1000)/VLOOKUP(J31,Kustannukset!$B$79:$K$92,9,FALSE)),AB31="",0)</f>
        <v>0</v>
      </c>
    </row>
    <row r="32" spans="6:33" ht="14" thickBot="1" x14ac:dyDescent="0.3">
      <c r="F32" s="157" t="s">
        <v>37</v>
      </c>
      <c r="G32" s="158"/>
      <c r="H32" s="159" t="s">
        <v>32</v>
      </c>
      <c r="I32" s="99"/>
      <c r="J32" s="161" t="s">
        <v>33</v>
      </c>
      <c r="K32" s="280"/>
      <c r="L32" s="1" t="s">
        <v>65</v>
      </c>
      <c r="M32" s="137" t="str" cm="1">
        <f t="array" ref="M32">_xlfn.IFS(F32&lt;&gt;"Valitse uusiomateriaali",N32+O32,F32="Valitse uusiomateriaali","")</f>
        <v/>
      </c>
      <c r="N32" s="137" t="str" cm="1">
        <f t="array" ref="N32">_xlfn.IFS(H32="kg",VLOOKUP(F32,Päästökertoimet!$C$5:$I$34,2,FALSE)*G32,H32="m3",VLOOKUP(F32,Päästökertoimet!$C$5:$I$34,6,FALSE)*G32,F32="Valitse uusiomateriaali","")</f>
        <v/>
      </c>
      <c r="O32" s="138" t="str" cm="1">
        <f t="array" ref="O32">_xlfn.IFS(H32="kg",VLOOKUP(Laskentasivu!J32,Päästökertoimet!$M$5:$O$29,2,FALSE)*K32*(G32/1000),H32="m3",VLOOKUP(Laskentasivu!J32,Päästökertoimet!$M$5:$O$29,2,FALSE)*K32*G32*VLOOKUP(F32,Päästökertoimet!$C$5:$I$34,4,FALSE)/1000,F32="Valitse uusiomateriaali","")</f>
        <v/>
      </c>
      <c r="T32" s="28" t="str">
        <f t="shared" si="0"/>
        <v>Valitse uusiomateriaali</v>
      </c>
      <c r="U32" s="140" t="str" cm="1">
        <f t="array" ref="U32">IF(V32&lt;&gt;"",_xlfn.XLOOKUP(T32,Kustannukset!$B$15:$B$70,_xlfn.XLOOKUP(Laskentasivu!V32,Kustannukset!$C$14:$E$14,Kustannukset!$C$15:$E$70)),"")</f>
        <v/>
      </c>
      <c r="V32" s="133" t="str" cm="1">
        <f t="array" ref="V32">_xlfn.IFS(H32="kg",Aputaulukko!$F$11,H32="m3",Aputaulukko!$F$12,H32="Materiaalin yksikkö","")</f>
        <v/>
      </c>
      <c r="X32" s="285"/>
      <c r="Y32" s="1" t="s">
        <v>65</v>
      </c>
      <c r="Z32" s="285"/>
      <c r="AA32" s="1" t="s">
        <v>326</v>
      </c>
      <c r="AB32" s="170" t="str">
        <f>IF(Z32&lt;&gt;"",SUMIFS(Kustannukset!$C$78:$C$92,Kustannukset!$B$78:$B$92,Laskentasivu!J32,Kustannukset!$E$78:$E$92,Laskentasivu!X32,Kustannukset!$G$78:$G$92,Laskentasivu!Z32),"")</f>
        <v/>
      </c>
      <c r="AC32" s="1" t="s">
        <v>27</v>
      </c>
      <c r="AE32" s="137">
        <f t="shared" si="1"/>
        <v>0</v>
      </c>
      <c r="AF32" s="137" cm="1">
        <f t="array" ref="AF32">_xlfn.IFS(V32="e/kg",IF(H32="kg",U32*G32),V32="e/m3",IF(H32="m3",U32*G32),V32="",0)</f>
        <v>0</v>
      </c>
      <c r="AG32" s="138" cm="1">
        <f t="array" ref="AG32">_xlfn.IFS(AND(AB32&lt;&gt;"",H32="kg"),K32*AB32*((G32/1000)/VLOOKUP(J32,Kustannukset!$B$79:$K$92,9,FALSE)),AND(AB32&lt;&gt;"",H32="m3"),K32*AB32*((G32*VLOOKUP(F32,Päästökertoimet!$C$5:$I$59,4,FALSE)/1000)/VLOOKUP(J32,Kustannukset!$B$79:$K$92,9,FALSE)),AB32="",0)</f>
        <v>0</v>
      </c>
    </row>
    <row r="33" spans="6:33" ht="14" thickBot="1" x14ac:dyDescent="0.3">
      <c r="F33" s="157" t="s">
        <v>37</v>
      </c>
      <c r="G33" s="158"/>
      <c r="H33" s="159" t="s">
        <v>32</v>
      </c>
      <c r="I33" s="99"/>
      <c r="J33" s="161" t="s">
        <v>33</v>
      </c>
      <c r="K33" s="280"/>
      <c r="L33" s="1" t="s">
        <v>65</v>
      </c>
      <c r="M33" s="137" t="str" cm="1">
        <f t="array" ref="M33">_xlfn.IFS(F33&lt;&gt;"Valitse uusiomateriaali",N33+O33,F33="Valitse uusiomateriaali","")</f>
        <v/>
      </c>
      <c r="N33" s="137" t="str" cm="1">
        <f t="array" ref="N33">_xlfn.IFS(H33="kg",VLOOKUP(F33,Päästökertoimet!$C$5:$I$34,2,FALSE)*G33,H33="m3",VLOOKUP(F33,Päästökertoimet!$C$5:$I$34,6,FALSE)*G33,F33="Valitse uusiomateriaali","")</f>
        <v/>
      </c>
      <c r="O33" s="138" t="str" cm="1">
        <f t="array" ref="O33">_xlfn.IFS(H33="kg",VLOOKUP(Laskentasivu!J33,Päästökertoimet!$M$5:$O$29,2,FALSE)*K33*(G33/1000),H33="m3",VLOOKUP(Laskentasivu!J33,Päästökertoimet!$M$5:$O$29,2,FALSE)*K33*G33*VLOOKUP(F33,Päästökertoimet!$C$5:$I$34,4,FALSE)/1000,F33="Valitse uusiomateriaali","")</f>
        <v/>
      </c>
      <c r="T33" s="28" t="str">
        <f t="shared" si="0"/>
        <v>Valitse uusiomateriaali</v>
      </c>
      <c r="U33" s="140" t="str" cm="1">
        <f t="array" ref="U33">IF(V33&lt;&gt;"",_xlfn.XLOOKUP(T33,Kustannukset!$B$15:$B$70,_xlfn.XLOOKUP(Laskentasivu!V33,Kustannukset!$C$14:$E$14,Kustannukset!$C$15:$E$70)),"")</f>
        <v/>
      </c>
      <c r="V33" s="133" t="str" cm="1">
        <f t="array" ref="V33">_xlfn.IFS(H33="kg",Aputaulukko!$F$11,H33="m3",Aputaulukko!$F$12,H33="Materiaalin yksikkö","")</f>
        <v/>
      </c>
      <c r="X33" s="285"/>
      <c r="Y33" s="1" t="s">
        <v>65</v>
      </c>
      <c r="Z33" s="285"/>
      <c r="AA33" s="1" t="s">
        <v>326</v>
      </c>
      <c r="AB33" s="170" t="str">
        <f>IF(Z33&lt;&gt;"",SUMIFS(Kustannukset!$C$78:$C$92,Kustannukset!$B$78:$B$92,Laskentasivu!J33,Kustannukset!$E$78:$E$92,Laskentasivu!X33,Kustannukset!$G$78:$G$92,Laskentasivu!Z33),"")</f>
        <v/>
      </c>
      <c r="AC33" s="1" t="s">
        <v>27</v>
      </c>
      <c r="AE33" s="137">
        <f t="shared" si="1"/>
        <v>0</v>
      </c>
      <c r="AF33" s="137" cm="1">
        <f t="array" ref="AF33">_xlfn.IFS(V33="e/kg",IF(H33="kg",U33*G33),V33="e/m3",IF(H33="m3",U33*G33),V33="",0)</f>
        <v>0</v>
      </c>
      <c r="AG33" s="138" cm="1">
        <f t="array" ref="AG33">_xlfn.IFS(AND(AB33&lt;&gt;"",H33="kg"),K33*AB33*((G33/1000)/VLOOKUP(J33,Kustannukset!$B$79:$K$92,9,FALSE)),AND(AB33&lt;&gt;"",H33="m3"),K33*AB33*((G33*VLOOKUP(F33,Päästökertoimet!$C$5:$I$59,4,FALSE)/1000)/VLOOKUP(J33,Kustannukset!$B$79:$K$92,9,FALSE)),AB33="",0)</f>
        <v>0</v>
      </c>
    </row>
    <row r="34" spans="6:33" ht="14" thickBot="1" x14ac:dyDescent="0.3">
      <c r="F34" s="157" t="s">
        <v>37</v>
      </c>
      <c r="G34" s="158"/>
      <c r="H34" s="159" t="s">
        <v>32</v>
      </c>
      <c r="I34" s="99"/>
      <c r="J34" s="161" t="s">
        <v>33</v>
      </c>
      <c r="K34" s="280"/>
      <c r="L34" s="1" t="s">
        <v>65</v>
      </c>
      <c r="M34" s="137" t="str" cm="1">
        <f t="array" ref="M34">_xlfn.IFS(F34&lt;&gt;"Valitse uusiomateriaali",N34+O34,F34="Valitse uusiomateriaali","")</f>
        <v/>
      </c>
      <c r="N34" s="137" t="str" cm="1">
        <f t="array" ref="N34">_xlfn.IFS(H34="kg",VLOOKUP(F34,Päästökertoimet!$C$5:$I$34,2,FALSE)*G34,H34="m3",VLOOKUP(F34,Päästökertoimet!$C$5:$I$34,6,FALSE)*G34,F34="Valitse uusiomateriaali","")</f>
        <v/>
      </c>
      <c r="O34" s="138" t="str" cm="1">
        <f t="array" ref="O34">_xlfn.IFS(H34="kg",VLOOKUP(Laskentasivu!J34,Päästökertoimet!$M$5:$O$29,2,FALSE)*K34*(G34/1000),H34="m3",VLOOKUP(Laskentasivu!J34,Päästökertoimet!$M$5:$O$29,2,FALSE)*K34*G34*VLOOKUP(F34,Päästökertoimet!$C$5:$I$34,4,FALSE)/1000,F34="Valitse uusiomateriaali","")</f>
        <v/>
      </c>
      <c r="T34" s="28" t="str">
        <f t="shared" si="0"/>
        <v>Valitse uusiomateriaali</v>
      </c>
      <c r="U34" s="140" t="str" cm="1">
        <f t="array" ref="U34">IF(V34&lt;&gt;"",_xlfn.XLOOKUP(T34,Kustannukset!$B$15:$B$70,_xlfn.XLOOKUP(Laskentasivu!V34,Kustannukset!$C$14:$E$14,Kustannukset!$C$15:$E$70)),"")</f>
        <v/>
      </c>
      <c r="V34" s="133" t="str" cm="1">
        <f t="array" ref="V34">_xlfn.IFS(H34="kg",Aputaulukko!$F$11,H34="m3",Aputaulukko!$F$12,H34="Materiaalin yksikkö","")</f>
        <v/>
      </c>
      <c r="X34" s="285"/>
      <c r="Y34" s="1" t="s">
        <v>65</v>
      </c>
      <c r="Z34" s="285"/>
      <c r="AA34" s="1" t="s">
        <v>326</v>
      </c>
      <c r="AB34" s="170" t="str">
        <f>IF(Z34&lt;&gt;"",SUMIFS(Kustannukset!$C$78:$C$92,Kustannukset!$B$78:$B$92,Laskentasivu!J34,Kustannukset!$E$78:$E$92,Laskentasivu!X34,Kustannukset!$G$78:$G$92,Laskentasivu!Z34),"")</f>
        <v/>
      </c>
      <c r="AC34" s="1" t="s">
        <v>27</v>
      </c>
      <c r="AE34" s="137">
        <f t="shared" si="1"/>
        <v>0</v>
      </c>
      <c r="AF34" s="137" cm="1">
        <f t="array" ref="AF34">_xlfn.IFS(V34="e/kg",IF(H34="kg",U34*G34),V34="e/m3",IF(H34="m3",U34*G34),V34="",0)</f>
        <v>0</v>
      </c>
      <c r="AG34" s="138" cm="1">
        <f t="array" ref="AG34">_xlfn.IFS(AND(AB34&lt;&gt;"",H34="kg"),K34*AB34*((G34/1000)/VLOOKUP(J34,Kustannukset!$B$79:$K$92,9,FALSE)),AND(AB34&lt;&gt;"",H34="m3"),K34*AB34*((G34*VLOOKUP(F34,Päästökertoimet!$C$5:$I$59,4,FALSE)/1000)/VLOOKUP(J34,Kustannukset!$B$79:$K$92,9,FALSE)),AB34="",0)</f>
        <v>0</v>
      </c>
    </row>
    <row r="35" spans="6:33" ht="14" thickBot="1" x14ac:dyDescent="0.3">
      <c r="F35" s="157" t="s">
        <v>37</v>
      </c>
      <c r="G35" s="158"/>
      <c r="H35" s="159" t="s">
        <v>32</v>
      </c>
      <c r="I35" s="99"/>
      <c r="J35" s="161" t="s">
        <v>33</v>
      </c>
      <c r="K35" s="280"/>
      <c r="L35" s="1" t="s">
        <v>65</v>
      </c>
      <c r="M35" s="137" t="str" cm="1">
        <f t="array" ref="M35">_xlfn.IFS(F35&lt;&gt;"Valitse uusiomateriaali",N35+O35,F35="Valitse uusiomateriaali","")</f>
        <v/>
      </c>
      <c r="N35" s="137" t="str" cm="1">
        <f t="array" ref="N35">_xlfn.IFS(H35="kg",VLOOKUP(F35,Päästökertoimet!$C$5:$I$34,2,FALSE)*G35,H35="m3",VLOOKUP(F35,Päästökertoimet!$C$5:$I$34,6,FALSE)*G35,F35="Valitse uusiomateriaali","")</f>
        <v/>
      </c>
      <c r="O35" s="138" t="str" cm="1">
        <f t="array" ref="O35">_xlfn.IFS(H35="kg",VLOOKUP(Laskentasivu!J35,Päästökertoimet!$M$5:$O$29,2,FALSE)*K35*(G35/1000),H35="m3",VLOOKUP(Laskentasivu!J35,Päästökertoimet!$M$5:$O$29,2,FALSE)*K35*G35*VLOOKUP(F35,Päästökertoimet!$C$5:$I$34,4,FALSE)/1000,F35="Valitse uusiomateriaali","")</f>
        <v/>
      </c>
      <c r="T35" s="28" t="str">
        <f t="shared" si="0"/>
        <v>Valitse uusiomateriaali</v>
      </c>
      <c r="U35" s="140" t="str" cm="1">
        <f t="array" ref="U35">IF(V35&lt;&gt;"",_xlfn.XLOOKUP(T35,Kustannukset!$B$15:$B$70,_xlfn.XLOOKUP(Laskentasivu!V35,Kustannukset!$C$14:$E$14,Kustannukset!$C$15:$E$70)),"")</f>
        <v/>
      </c>
      <c r="V35" s="133" t="str" cm="1">
        <f t="array" ref="V35">_xlfn.IFS(H35="kg",Aputaulukko!$F$11,H35="m3",Aputaulukko!$F$12,H35="Materiaalin yksikkö","")</f>
        <v/>
      </c>
      <c r="X35" s="285" t="s">
        <v>328</v>
      </c>
      <c r="Y35" s="1" t="s">
        <v>65</v>
      </c>
      <c r="Z35" s="285"/>
      <c r="AA35" s="1" t="s">
        <v>326</v>
      </c>
      <c r="AB35" s="170" t="str">
        <f>IF(Z35&lt;&gt;"",SUMIFS(Kustannukset!$C$78:$C$92,Kustannukset!$B$78:$B$92,Laskentasivu!J35,Kustannukset!$E$78:$E$92,Laskentasivu!X35,Kustannukset!$G$78:$G$92,Laskentasivu!Z35),"")</f>
        <v/>
      </c>
      <c r="AC35" s="1" t="s">
        <v>27</v>
      </c>
      <c r="AE35" s="137">
        <f t="shared" si="1"/>
        <v>0</v>
      </c>
      <c r="AF35" s="137" cm="1">
        <f t="array" ref="AF35">_xlfn.IFS(V35="e/kg",IF(H35="kg",U35*G35),V35="e/m3",IF(H35="m3",U35*G35),V35="",0)</f>
        <v>0</v>
      </c>
      <c r="AG35" s="138" cm="1">
        <f t="array" ref="AG35">_xlfn.IFS(AND(AB35&lt;&gt;"",H35="kg"),K35*AB35*((G35/1000)/VLOOKUP(J35,Kustannukset!$B$79:$K$92,9,FALSE)),AND(AB35&lt;&gt;"",H35="m3"),K35*AB35*((G35*VLOOKUP(F35,Päästökertoimet!$C$5:$I$59,4,FALSE)/1000)/VLOOKUP(J35,Kustannukset!$B$79:$K$92,9,FALSE)),AB35="",0)</f>
        <v>0</v>
      </c>
    </row>
    <row r="36" spans="6:33" ht="14" thickBot="1" x14ac:dyDescent="0.3">
      <c r="F36" s="157" t="s">
        <v>37</v>
      </c>
      <c r="G36" s="158"/>
      <c r="H36" s="159" t="s">
        <v>32</v>
      </c>
      <c r="I36" s="99"/>
      <c r="J36" s="161" t="s">
        <v>33</v>
      </c>
      <c r="K36" s="280"/>
      <c r="L36" s="1" t="s">
        <v>65</v>
      </c>
      <c r="M36" s="137" t="str" cm="1">
        <f t="array" ref="M36">_xlfn.IFS(F36&lt;&gt;"Valitse uusiomateriaali",N36+O36,F36="Valitse uusiomateriaali","")</f>
        <v/>
      </c>
      <c r="N36" s="137" t="str" cm="1">
        <f t="array" ref="N36">_xlfn.IFS(H36="kg",VLOOKUP(F36,Päästökertoimet!$C$5:$I$34,2,FALSE)*G36,H36="m3",VLOOKUP(F36,Päästökertoimet!$C$5:$I$34,6,FALSE)*G36,F36="Valitse uusiomateriaali","")</f>
        <v/>
      </c>
      <c r="O36" s="138" t="str" cm="1">
        <f t="array" ref="O36">_xlfn.IFS(H36="kg",VLOOKUP(Laskentasivu!J36,Päästökertoimet!$M$5:$O$29,2,FALSE)*K36*(G36/1000),H36="m3",VLOOKUP(Laskentasivu!J36,Päästökertoimet!$M$5:$O$29,2,FALSE)*K36*G36*VLOOKUP(F36,Päästökertoimet!$C$5:$I$34,4,FALSE)/1000,F36="Valitse uusiomateriaali","")</f>
        <v/>
      </c>
      <c r="T36" s="28" t="str">
        <f t="shared" si="0"/>
        <v>Valitse uusiomateriaali</v>
      </c>
      <c r="U36" s="140" t="str" cm="1">
        <f t="array" ref="U36">IF(V36&lt;&gt;"",_xlfn.XLOOKUP(T36,Kustannukset!$B$15:$B$70,_xlfn.XLOOKUP(Laskentasivu!V36,Kustannukset!$C$14:$E$14,Kustannukset!$C$15:$E$70)),"")</f>
        <v/>
      </c>
      <c r="V36" s="133" t="str" cm="1">
        <f t="array" ref="V36">_xlfn.IFS(H36="kg",Aputaulukko!$F$11,H36="m3",Aputaulukko!$F$12,H36="Materiaalin yksikkö","")</f>
        <v/>
      </c>
      <c r="X36" s="285" t="s">
        <v>328</v>
      </c>
      <c r="Y36" s="1" t="s">
        <v>65</v>
      </c>
      <c r="Z36" s="285"/>
      <c r="AA36" s="1" t="s">
        <v>326</v>
      </c>
      <c r="AB36" s="170" t="str">
        <f>IF(Z36&lt;&gt;"",SUMIFS(Kustannukset!$C$78:$C$92,Kustannukset!$B$78:$B$92,Laskentasivu!J36,Kustannukset!$E$78:$E$92,Laskentasivu!X36,Kustannukset!$G$78:$G$92,Laskentasivu!Z36),"")</f>
        <v/>
      </c>
      <c r="AC36" s="1" t="s">
        <v>27</v>
      </c>
      <c r="AE36" s="137">
        <f t="shared" si="1"/>
        <v>0</v>
      </c>
      <c r="AF36" s="137" cm="1">
        <f t="array" ref="AF36">_xlfn.IFS(V36="e/kg",IF(H36="kg",U36*G36),V36="e/m3",IF(H36="m3",U36*G36),V36="",0)</f>
        <v>0</v>
      </c>
      <c r="AG36" s="138" cm="1">
        <f t="array" ref="AG36">_xlfn.IFS(AND(AB36&lt;&gt;"",H36="kg"),K36*AB36*((G36/1000)/VLOOKUP(J36,Kustannukset!$B$79:$K$92,9,FALSE)),AND(AB36&lt;&gt;"",H36="m3"),K36*AB36*((G36*VLOOKUP(F36,Päästökertoimet!$C$5:$I$59,4,FALSE)/1000)/VLOOKUP(J36,Kustannukset!$B$79:$K$92,9,FALSE)),AB36="",0)</f>
        <v>0</v>
      </c>
    </row>
    <row r="37" spans="6:33" ht="14" thickBot="1" x14ac:dyDescent="0.3">
      <c r="F37" s="157" t="s">
        <v>37</v>
      </c>
      <c r="G37" s="158"/>
      <c r="H37" s="159" t="s">
        <v>32</v>
      </c>
      <c r="I37" s="99"/>
      <c r="J37" s="161" t="s">
        <v>33</v>
      </c>
      <c r="K37" s="280"/>
      <c r="L37" s="1" t="s">
        <v>65</v>
      </c>
      <c r="M37" s="137" t="str" cm="1">
        <f t="array" ref="M37">_xlfn.IFS(F37&lt;&gt;"Valitse uusiomateriaali",N37+O37,F37="Valitse uusiomateriaali","")</f>
        <v/>
      </c>
      <c r="N37" s="137" t="str" cm="1">
        <f t="array" ref="N37">_xlfn.IFS(H37="kg",VLOOKUP(F37,Päästökertoimet!$C$5:$I$34,2,FALSE)*G37,H37="m3",VLOOKUP(F37,Päästökertoimet!$C$5:$I$34,6,FALSE)*G37,F37="Valitse uusiomateriaali","")</f>
        <v/>
      </c>
      <c r="O37" s="138" t="str" cm="1">
        <f t="array" ref="O37">_xlfn.IFS(H37="kg",VLOOKUP(Laskentasivu!J37,Päästökertoimet!$M$5:$O$29,2,FALSE)*K37*(G37/1000),H37="m3",VLOOKUP(Laskentasivu!J37,Päästökertoimet!$M$5:$O$29,2,FALSE)*K37*G37*VLOOKUP(F37,Päästökertoimet!$C$5:$I$34,4,FALSE)/1000,F37="Valitse uusiomateriaali","")</f>
        <v/>
      </c>
      <c r="T37" s="28" t="str">
        <f t="shared" si="0"/>
        <v>Valitse uusiomateriaali</v>
      </c>
      <c r="U37" s="140" t="str" cm="1">
        <f t="array" ref="U37">IF(V37&lt;&gt;"",_xlfn.XLOOKUP(T37,Kustannukset!$B$15:$B$70,_xlfn.XLOOKUP(Laskentasivu!V37,Kustannukset!$C$14:$E$14,Kustannukset!$C$15:$E$70)),"")</f>
        <v/>
      </c>
      <c r="V37" s="133" t="str" cm="1">
        <f t="array" ref="V37">_xlfn.IFS(H37="kg",Aputaulukko!$F$11,H37="m3",Aputaulukko!$F$12,H37="Materiaalin yksikkö","")</f>
        <v/>
      </c>
      <c r="X37" s="285" t="s">
        <v>328</v>
      </c>
      <c r="Y37" s="1" t="s">
        <v>65</v>
      </c>
      <c r="Z37" s="285"/>
      <c r="AA37" s="1" t="s">
        <v>326</v>
      </c>
      <c r="AB37" s="170" t="str">
        <f>IF(Z37&lt;&gt;"",SUMIFS(Kustannukset!$C$78:$C$92,Kustannukset!$B$78:$B$92,Laskentasivu!J37,Kustannukset!$E$78:$E$92,Laskentasivu!X37,Kustannukset!$G$78:$G$92,Laskentasivu!Z37),"")</f>
        <v/>
      </c>
      <c r="AC37" s="1" t="s">
        <v>27</v>
      </c>
      <c r="AE37" s="137">
        <f t="shared" si="1"/>
        <v>0</v>
      </c>
      <c r="AF37" s="137" cm="1">
        <f t="array" ref="AF37">_xlfn.IFS(V37="e/kg",IF(H37="kg",U37*G37),V37="e/m3",IF(H37="m3",U37*G37),V37="",0)</f>
        <v>0</v>
      </c>
      <c r="AG37" s="138" cm="1">
        <f t="array" ref="AG37">_xlfn.IFS(AND(AB37&lt;&gt;"",H37="kg"),K37*AB37*((G37/1000)/VLOOKUP(J37,Kustannukset!$B$79:$K$92,9,FALSE)),AND(AB37&lt;&gt;"",H37="m3"),K37*AB37*((G37*VLOOKUP(F37,Päästökertoimet!$C$5:$I$59,4,FALSE)/1000)/VLOOKUP(J37,Kustannukset!$B$79:$K$92,9,FALSE)),AB37="",0)</f>
        <v>0</v>
      </c>
    </row>
    <row r="38" spans="6:33" ht="14" thickBot="1" x14ac:dyDescent="0.3">
      <c r="F38" s="157" t="s">
        <v>37</v>
      </c>
      <c r="G38" s="158"/>
      <c r="H38" s="160" t="s">
        <v>32</v>
      </c>
      <c r="I38" s="99"/>
      <c r="J38" s="161" t="s">
        <v>33</v>
      </c>
      <c r="K38" s="280"/>
      <c r="L38" s="1" t="s">
        <v>65</v>
      </c>
      <c r="M38" s="137" t="str" cm="1">
        <f t="array" ref="M38">_xlfn.IFS(F38&lt;&gt;"Valitse uusiomateriaali",N38+O38,F38="Valitse uusiomateriaali","")</f>
        <v/>
      </c>
      <c r="N38" s="137" t="str" cm="1">
        <f t="array" ref="N38">_xlfn.IFS(H38="kg",VLOOKUP(F38,Päästökertoimet!$C$5:$I$34,2,FALSE)*G38,H38="m3",VLOOKUP(F38,Päästökertoimet!$C$5:$I$34,6,FALSE)*G38,F38="Valitse uusiomateriaali","")</f>
        <v/>
      </c>
      <c r="O38" s="138" t="str" cm="1">
        <f t="array" ref="O38">_xlfn.IFS(H38="kg",VLOOKUP(Laskentasivu!J38,Päästökertoimet!$M$5:$O$29,2,FALSE)*K38*(G38/1000),H38="m3",VLOOKUP(Laskentasivu!J38,Päästökertoimet!$M$5:$O$29,2,FALSE)*K38*G38*VLOOKUP(F38,Päästökertoimet!$C$5:$I$34,4,FALSE)/1000,F38="Valitse uusiomateriaali","")</f>
        <v/>
      </c>
      <c r="T38" s="28" t="str">
        <f t="shared" si="0"/>
        <v>Valitse uusiomateriaali</v>
      </c>
      <c r="U38" s="140" t="str" cm="1">
        <f t="array" ref="U38">IF(V38&lt;&gt;"",_xlfn.XLOOKUP(T38,Kustannukset!$B$15:$B$70,_xlfn.XLOOKUP(Laskentasivu!V38,Kustannukset!$C$14:$E$14,Kustannukset!$C$15:$E$70)),"")</f>
        <v/>
      </c>
      <c r="V38" s="133" t="str" cm="1">
        <f t="array" ref="V38">_xlfn.IFS(H38="kg",Aputaulukko!$F$11,H38="m3",Aputaulukko!$F$12,H38="Materiaalin yksikkö","")</f>
        <v/>
      </c>
      <c r="X38" s="285"/>
      <c r="Y38" s="1" t="s">
        <v>65</v>
      </c>
      <c r="Z38" s="285"/>
      <c r="AA38" s="1" t="s">
        <v>326</v>
      </c>
      <c r="AB38" s="170" t="str">
        <f>IF(Z38&lt;&gt;"",SUMIFS(Kustannukset!$C$78:$C$92,Kustannukset!$B$78:$B$92,Laskentasivu!J38,Kustannukset!$E$78:$E$92,Laskentasivu!X38,Kustannukset!$G$78:$G$92,Laskentasivu!Z38),"")</f>
        <v/>
      </c>
      <c r="AC38" s="1" t="s">
        <v>27</v>
      </c>
      <c r="AE38" s="137">
        <f t="shared" si="1"/>
        <v>0</v>
      </c>
      <c r="AF38" s="137" cm="1">
        <f t="array" ref="AF38">_xlfn.IFS(V38="e/kg",IF(H38="kg",U38*G38),V38="e/m3",IF(H38="m3",U38*G38),V38="",0)</f>
        <v>0</v>
      </c>
      <c r="AG38" s="138" cm="1">
        <f t="array" ref="AG38">_xlfn.IFS(AND(AB38&lt;&gt;"",H38="kg"),K38*AB38*((G38/1000)/VLOOKUP(J38,Kustannukset!$B$79:$K$92,9,FALSE)),AND(AB38&lt;&gt;"",H38="m3"),K38*AB38*((G38*VLOOKUP(F38,Päästökertoimet!$C$5:$I$59,4,FALSE)/1000)/VLOOKUP(J38,Kustannukset!$B$79:$K$92,9,FALSE)),AB38="",0)</f>
        <v>0</v>
      </c>
    </row>
    <row r="39" spans="6:33" x14ac:dyDescent="0.25">
      <c r="F39" s="8"/>
      <c r="I39" s="4"/>
      <c r="M39" s="27"/>
      <c r="N39" s="38"/>
      <c r="O39" s="52"/>
      <c r="T39" s="28"/>
      <c r="U39" s="76"/>
      <c r="AE39" s="27"/>
      <c r="AF39" s="27"/>
      <c r="AG39" s="56"/>
    </row>
    <row r="40" spans="6:33" ht="28" x14ac:dyDescent="0.35">
      <c r="F40" s="96" t="s">
        <v>38</v>
      </c>
      <c r="G40" s="17"/>
      <c r="H40" s="17"/>
      <c r="I40" s="17"/>
      <c r="J40" s="17"/>
      <c r="K40" s="17"/>
      <c r="M40" s="94" t="s">
        <v>39</v>
      </c>
      <c r="N40" s="53"/>
      <c r="O40" s="54"/>
      <c r="T40" s="4"/>
      <c r="U40" s="4"/>
      <c r="V40" s="4"/>
      <c r="W40" s="4"/>
      <c r="X40" s="4"/>
      <c r="Y40" s="4"/>
      <c r="Z40" s="4"/>
      <c r="AA40" s="4"/>
      <c r="AB40" s="4"/>
      <c r="AC40" s="4"/>
      <c r="AD40" s="4"/>
      <c r="AE40" s="4"/>
      <c r="AF40" s="4"/>
      <c r="AG40" s="4"/>
    </row>
    <row r="41" spans="6:33" ht="28.5" customHeight="1" thickBot="1" x14ac:dyDescent="0.4">
      <c r="F41" s="35" t="s">
        <v>352</v>
      </c>
      <c r="G41" s="17" t="s">
        <v>12</v>
      </c>
      <c r="H41" s="17" t="s">
        <v>13</v>
      </c>
      <c r="I41" s="17"/>
      <c r="J41" s="17"/>
      <c r="K41" s="17"/>
      <c r="M41" s="26" t="s">
        <v>355</v>
      </c>
      <c r="N41" s="174"/>
      <c r="O41" s="56"/>
      <c r="AC41" s="338" t="s">
        <v>72</v>
      </c>
      <c r="AD41" s="339"/>
      <c r="AE41" s="339"/>
      <c r="AF41" s="134">
        <f>SUM(AF6:AF38)</f>
        <v>0</v>
      </c>
      <c r="AG41" s="44" t="s">
        <v>73</v>
      </c>
    </row>
    <row r="42" spans="6:33" ht="18" customHeight="1" thickBot="1" x14ac:dyDescent="0.4">
      <c r="F42" s="175" t="s">
        <v>347</v>
      </c>
      <c r="G42" s="163"/>
      <c r="H42" s="176" t="s">
        <v>45</v>
      </c>
      <c r="I42" s="17"/>
      <c r="J42" s="17"/>
      <c r="K42" s="17"/>
      <c r="M42" s="228" t="str" cm="1">
        <f t="array" ref="M42">_xlfn.IFS(G42&lt;&gt;"",G42*Päästökertoimet!AG5,G42="","")</f>
        <v/>
      </c>
      <c r="N42" s="174"/>
      <c r="O42" s="56"/>
      <c r="AC42" s="340" t="s">
        <v>76</v>
      </c>
      <c r="AD42" s="341"/>
      <c r="AE42" s="341"/>
      <c r="AF42" s="135">
        <f>SUM(AG6:AG38)</f>
        <v>0</v>
      </c>
      <c r="AG42" s="46" t="s">
        <v>73</v>
      </c>
    </row>
    <row r="43" spans="6:33" ht="18" customHeight="1" thickBot="1" x14ac:dyDescent="0.4">
      <c r="F43" s="175" t="s">
        <v>261</v>
      </c>
      <c r="G43" s="163"/>
      <c r="H43" s="176" t="s">
        <v>45</v>
      </c>
      <c r="I43" s="17"/>
      <c r="J43" s="17"/>
      <c r="K43" s="17"/>
      <c r="M43" s="228" t="str" cm="1">
        <f t="array" ref="M43">_xlfn.IFS(G43&lt;&gt;"",G43*Päästökertoimet!AG6,G43="","")</f>
        <v/>
      </c>
      <c r="N43" s="174"/>
      <c r="O43" s="56"/>
      <c r="AB43" s="45"/>
      <c r="AC43" s="342" t="s">
        <v>78</v>
      </c>
      <c r="AD43" s="343"/>
      <c r="AE43" s="343"/>
      <c r="AF43" s="136">
        <f>SUM(AF41:AF42)</f>
        <v>0</v>
      </c>
      <c r="AG43" s="49" t="s">
        <v>73</v>
      </c>
    </row>
    <row r="44" spans="6:33" ht="18" thickBot="1" x14ac:dyDescent="0.4">
      <c r="F44" s="175" t="s">
        <v>348</v>
      </c>
      <c r="G44" s="163"/>
      <c r="H44" s="176" t="s">
        <v>45</v>
      </c>
      <c r="I44" s="17"/>
      <c r="J44" s="17"/>
      <c r="K44" s="17"/>
      <c r="M44" s="228" t="str" cm="1">
        <f t="array" ref="M44">_xlfn.IFS(G44&lt;&gt;"",G44*Päästökertoimet!AG7,G44="","")</f>
        <v/>
      </c>
      <c r="N44" s="174"/>
      <c r="O44" s="56"/>
      <c r="AB44" s="45"/>
      <c r="AC44" s="45"/>
    </row>
    <row r="45" spans="6:33" ht="14" thickBot="1" x14ac:dyDescent="0.3">
      <c r="F45" s="175" t="s">
        <v>262</v>
      </c>
      <c r="G45" s="163"/>
      <c r="H45" s="176" t="s">
        <v>45</v>
      </c>
      <c r="I45" s="17"/>
      <c r="J45" s="17"/>
      <c r="K45" s="17"/>
      <c r="M45" s="228" t="str" cm="1">
        <f t="array" ref="M45">_xlfn.IFS(G45&lt;&gt;"",G45*Päästökertoimet!AG8,G45="","")</f>
        <v/>
      </c>
      <c r="N45" s="174"/>
      <c r="O45" s="56"/>
    </row>
    <row r="46" spans="6:33" ht="14" thickBot="1" x14ac:dyDescent="0.3">
      <c r="F46" s="175" t="s">
        <v>349</v>
      </c>
      <c r="G46" s="163"/>
      <c r="H46" s="176" t="s">
        <v>29</v>
      </c>
      <c r="I46" s="17"/>
      <c r="J46" s="17"/>
      <c r="K46" s="17"/>
      <c r="M46" s="228" t="str" cm="1">
        <f t="array" ref="M46">_xlfn.IFS(G46&lt;&gt;"",G46*Päästökertoimet!AG9,G46="","")</f>
        <v/>
      </c>
      <c r="N46" s="174"/>
      <c r="O46" s="56"/>
    </row>
    <row r="47" spans="6:33" ht="14" thickBot="1" x14ac:dyDescent="0.3">
      <c r="F47" s="175" t="s">
        <v>350</v>
      </c>
      <c r="G47" s="163"/>
      <c r="H47" s="176" t="s">
        <v>29</v>
      </c>
      <c r="I47" s="17"/>
      <c r="J47" s="17"/>
      <c r="K47" s="17"/>
      <c r="M47" s="228" t="str" cm="1">
        <f t="array" ref="M47">_xlfn.IFS(G47&lt;&gt;"",G47*Päästökertoimet!AG10,G47="","")</f>
        <v/>
      </c>
      <c r="N47" s="174"/>
      <c r="O47" s="56"/>
    </row>
    <row r="48" spans="6:33" ht="14" thickBot="1" x14ac:dyDescent="0.3">
      <c r="F48" s="175" t="s">
        <v>351</v>
      </c>
      <c r="G48" s="163"/>
      <c r="H48" s="176" t="s">
        <v>29</v>
      </c>
      <c r="I48" s="17"/>
      <c r="J48" s="17"/>
      <c r="K48" s="17"/>
      <c r="M48" s="228" t="str" cm="1">
        <f t="array" ref="M48">_xlfn.IFS(G48&lt;&gt;"",G48*Päästökertoimet!AG11,G48="","")</f>
        <v/>
      </c>
      <c r="N48" s="174"/>
      <c r="O48" s="56"/>
    </row>
    <row r="49" spans="6:15" ht="14" customHeight="1" x14ac:dyDescent="0.35">
      <c r="F49" s="96"/>
      <c r="G49" s="17"/>
      <c r="H49" s="17"/>
      <c r="I49" s="17"/>
      <c r="J49" s="17"/>
      <c r="K49" s="17"/>
      <c r="M49" s="228"/>
      <c r="N49" s="174"/>
      <c r="O49" s="56"/>
    </row>
    <row r="50" spans="6:15" ht="56.5" customHeight="1" thickBot="1" x14ac:dyDescent="0.3">
      <c r="F50" s="6" t="s">
        <v>356</v>
      </c>
      <c r="G50" s="127" t="s">
        <v>41</v>
      </c>
      <c r="H50" s="17" t="s">
        <v>13</v>
      </c>
      <c r="I50" s="17"/>
      <c r="J50" s="17" t="s">
        <v>357</v>
      </c>
      <c r="K50" s="17"/>
      <c r="M50" s="65" t="s">
        <v>40</v>
      </c>
      <c r="N50" s="95" t="s">
        <v>42</v>
      </c>
      <c r="O50" s="132" t="s">
        <v>43</v>
      </c>
    </row>
    <row r="51" spans="6:15" ht="14" thickBot="1" x14ac:dyDescent="0.3">
      <c r="F51" s="162" t="s">
        <v>51</v>
      </c>
      <c r="G51" s="163"/>
      <c r="H51" s="164" t="s">
        <v>52</v>
      </c>
      <c r="J51" s="165" t="s">
        <v>46</v>
      </c>
      <c r="M51" s="137" t="str" cm="1">
        <f t="array" ref="M51">_xlfn.IFS(H51="h",G51*VLOOKUP(F51,Päästökertoimet!$S$5:$W$31,2,FALSE),H51="l",G51*VLOOKUP(F51,Päästökertoimet!$S$5:$W$31,4,FALSE),F51="Valitse työkone","")</f>
        <v/>
      </c>
      <c r="N51" s="139" t="str" cm="1">
        <f t="array" ref="N51">_xlfn.IFS(J51&lt;&gt;"Valitse työvaihe",((SUMIF($H$6:$H$38,"kg",$G$6:$G$38)+Aputaulukko!$C$24)/1000)*VLOOKUP(J51,Päästökertoimet!$S$44:$W$56,5,FALSE),J51="Valitse työvaihe","")</f>
        <v/>
      </c>
      <c r="O51" s="138"/>
    </row>
    <row r="52" spans="6:15" ht="14" thickBot="1" x14ac:dyDescent="0.3">
      <c r="F52" s="162" t="s">
        <v>51</v>
      </c>
      <c r="G52" s="163"/>
      <c r="H52" s="164" t="s">
        <v>52</v>
      </c>
      <c r="J52" s="165" t="s">
        <v>46</v>
      </c>
      <c r="M52" s="137" t="str" cm="1">
        <f t="array" ref="M52">_xlfn.IFS(H52="h",G52*VLOOKUP(F52,Päästökertoimet!$S$5:$W$31,2,FALSE),H52="l",G52*VLOOKUP(F52,Päästökertoimet!$S$5:$W$31,4,FALSE),F52="Valitse työkone","")</f>
        <v/>
      </c>
      <c r="N52" s="139" t="str" cm="1">
        <f t="array" ref="N52">_xlfn.IFS(J52&lt;&gt;"Valitse työvaihe",((SUMIF($H$6:$H$38,"kg",$G$6:$G$38)+Aputaulukko!$C$24)/1000)*VLOOKUP(J52,Päästökertoimet!$S$44:$W$56,5,FALSE),J52="Valitse työvaihe","")</f>
        <v/>
      </c>
      <c r="O52" s="138"/>
    </row>
    <row r="53" spans="6:15" ht="14" thickBot="1" x14ac:dyDescent="0.3">
      <c r="F53" s="162" t="s">
        <v>51</v>
      </c>
      <c r="G53" s="163"/>
      <c r="H53" s="164" t="s">
        <v>52</v>
      </c>
      <c r="J53" s="165" t="s">
        <v>46</v>
      </c>
      <c r="M53" s="137" t="str" cm="1">
        <f t="array" ref="M53">_xlfn.IFS(H53="h",G53*VLOOKUP(F53,Päästökertoimet!$S$5:$W$31,2,FALSE),H53="l",G53*VLOOKUP(F53,Päästökertoimet!$S$5:$W$31,4,FALSE),F53="Valitse työkone","")</f>
        <v/>
      </c>
      <c r="N53" s="139" t="str" cm="1">
        <f t="array" ref="N53">_xlfn.IFS(J53&lt;&gt;"Valitse työvaihe",((SUMIF($H$6:$H$38,"kg",$G$6:$G$38)+Aputaulukko!$C$24)/1000)*VLOOKUP(J53,Päästökertoimet!$S$44:$W$56,5,FALSE),J53="Valitse työvaihe","")</f>
        <v/>
      </c>
      <c r="O53" s="138"/>
    </row>
    <row r="54" spans="6:15" ht="14" thickBot="1" x14ac:dyDescent="0.3">
      <c r="F54" s="162" t="s">
        <v>51</v>
      </c>
      <c r="G54" s="163"/>
      <c r="H54" s="164" t="s">
        <v>52</v>
      </c>
      <c r="J54" s="165" t="s">
        <v>46</v>
      </c>
      <c r="M54" s="137" t="str" cm="1">
        <f t="array" ref="M54">_xlfn.IFS(H54="h",G54*VLOOKUP(F54,Päästökertoimet!$S$5:$W$31,2,FALSE),H54="l",G54*VLOOKUP(F54,Päästökertoimet!$S$5:$W$31,4,FALSE),F54="Valitse työkone","")</f>
        <v/>
      </c>
      <c r="N54" s="139" t="str" cm="1">
        <f t="array" ref="N54">_xlfn.IFS(J54&lt;&gt;"Valitse työvaihe",((SUMIF($H$6:$H$38,"kg",$G$6:$G$38)+Aputaulukko!$C$24)/1000)*VLOOKUP(J54,Päästökertoimet!$S$44:$W$56,5,FALSE),J54="Valitse työvaihe","")</f>
        <v/>
      </c>
      <c r="O54" s="138"/>
    </row>
    <row r="55" spans="6:15" ht="14" thickBot="1" x14ac:dyDescent="0.3">
      <c r="F55" s="162" t="s">
        <v>51</v>
      </c>
      <c r="G55" s="163"/>
      <c r="H55" s="164" t="s">
        <v>52</v>
      </c>
      <c r="J55" s="165" t="s">
        <v>46</v>
      </c>
      <c r="M55" s="137" t="str" cm="1">
        <f t="array" ref="M55">_xlfn.IFS(H55="h",G55*VLOOKUP(F55,Päästökertoimet!$S$5:$W$31,2,FALSE),H55="l",G55*VLOOKUP(F55,Päästökertoimet!$S$5:$W$31,4,FALSE),F55="Valitse työkone","")</f>
        <v/>
      </c>
      <c r="N55" s="139" t="str" cm="1">
        <f t="array" ref="N55">_xlfn.IFS(J55&lt;&gt;"Valitse työvaihe",((SUMIF($H$6:$H$38,"kg",$G$6:$G$38)+Aputaulukko!$C$24)/1000)*VLOOKUP(J55,Päästökertoimet!$S$44:$W$56,5,FALSE),J55="Valitse työvaihe","")</f>
        <v/>
      </c>
      <c r="O55" s="138"/>
    </row>
    <row r="56" spans="6:15" ht="14" thickBot="1" x14ac:dyDescent="0.3">
      <c r="F56" s="162" t="s">
        <v>51</v>
      </c>
      <c r="G56" s="163"/>
      <c r="H56" s="164" t="s">
        <v>52</v>
      </c>
      <c r="J56" s="165" t="s">
        <v>46</v>
      </c>
      <c r="M56" s="137" t="str" cm="1">
        <f t="array" ref="M56">_xlfn.IFS(H56="h",G56*VLOOKUP(F56,Päästökertoimet!$S$5:$W$31,2,FALSE),H56="l",G56*VLOOKUP(F56,Päästökertoimet!$S$5:$W$31,4,FALSE),F56="Valitse työkone","")</f>
        <v/>
      </c>
      <c r="N56" s="139" t="str" cm="1">
        <f t="array" ref="N56">_xlfn.IFS(J56&lt;&gt;"Valitse työvaihe",((SUMIF($H$6:$H$38,"kg",$G$6:$G$38)+Aputaulukko!$C$24)/1000)*VLOOKUP(J56,Päästökertoimet!$S$44:$W$56,5,FALSE),J56="Valitse työvaihe","")</f>
        <v/>
      </c>
      <c r="O56" s="138"/>
    </row>
    <row r="57" spans="6:15" ht="14" thickBot="1" x14ac:dyDescent="0.3">
      <c r="F57" s="162" t="s">
        <v>51</v>
      </c>
      <c r="G57" s="163"/>
      <c r="H57" s="164" t="s">
        <v>52</v>
      </c>
      <c r="J57" s="165" t="s">
        <v>46</v>
      </c>
      <c r="M57" s="137" t="str" cm="1">
        <f t="array" ref="M57">_xlfn.IFS(H57="h",G57*VLOOKUP(F57,Päästökertoimet!$S$5:$W$31,2,FALSE),H57="l",G57*VLOOKUP(F57,Päästökertoimet!$S$5:$W$31,4,FALSE),F57="Valitse työkone","")</f>
        <v/>
      </c>
      <c r="N57" s="139" t="str" cm="1">
        <f t="array" ref="N57">_xlfn.IFS(J57&lt;&gt;"Valitse työvaihe",((SUMIF($H$6:$H$38,"kg",$G$6:$G$38)+Aputaulukko!$C$24)/1000)*VLOOKUP(J57,Päästökertoimet!$S$44:$W$56,5,FALSE),J57="Valitse työvaihe","")</f>
        <v/>
      </c>
      <c r="O57" s="138"/>
    </row>
    <row r="58" spans="6:15" ht="14" thickBot="1" x14ac:dyDescent="0.3">
      <c r="F58" s="162" t="s">
        <v>51</v>
      </c>
      <c r="G58" s="163"/>
      <c r="H58" s="164" t="s">
        <v>52</v>
      </c>
      <c r="M58" s="137" t="str" cm="1">
        <f t="array" ref="M58">_xlfn.IFS(H58="h",G58*VLOOKUP(F58,Päästökertoimet!$S$5:$W$31,2,FALSE),H58="l",G58*VLOOKUP(F58,Päästökertoimet!$S$5:$W$31,4,FALSE),F58="Valitse työkone","")</f>
        <v/>
      </c>
      <c r="N58" s="139"/>
      <c r="O58" s="138"/>
    </row>
    <row r="59" spans="6:15" ht="14" thickBot="1" x14ac:dyDescent="0.3">
      <c r="F59" s="162" t="s">
        <v>51</v>
      </c>
      <c r="G59" s="163"/>
      <c r="H59" s="164" t="s">
        <v>52</v>
      </c>
      <c r="M59" s="137" t="str" cm="1">
        <f t="array" ref="M59">_xlfn.IFS(H59="h",G59*VLOOKUP(F59,Päästökertoimet!$S$5:$W$31,2,FALSE),H59="l",G59*VLOOKUP(F59,Päästökertoimet!$S$5:$W$31,4,FALSE),F59="Valitse työkone","")</f>
        <v/>
      </c>
      <c r="N59" s="139"/>
      <c r="O59" s="138"/>
    </row>
    <row r="60" spans="6:15" ht="14" thickBot="1" x14ac:dyDescent="0.3">
      <c r="F60" s="162" t="s">
        <v>51</v>
      </c>
      <c r="G60" s="163"/>
      <c r="H60" s="164" t="s">
        <v>52</v>
      </c>
      <c r="J60" s="17" t="s">
        <v>53</v>
      </c>
      <c r="M60" s="137" t="str" cm="1">
        <f t="array" ref="M60">_xlfn.IFS(H60="h",G60*VLOOKUP(F60,Päästökertoimet!$S$5:$W$31,2,FALSE),H60="l",G60*VLOOKUP(F60,Päästökertoimet!$S$5:$W$31,4,FALSE),F60="Valitse työkone","")</f>
        <v/>
      </c>
      <c r="N60" s="139"/>
      <c r="O60" s="138"/>
    </row>
    <row r="61" spans="6:15" ht="14" thickBot="1" x14ac:dyDescent="0.3">
      <c r="F61" s="162" t="s">
        <v>51</v>
      </c>
      <c r="G61" s="163"/>
      <c r="H61" s="164" t="s">
        <v>52</v>
      </c>
      <c r="J61" s="33" t="s">
        <v>54</v>
      </c>
      <c r="K61" s="163"/>
      <c r="L61" s="1" t="s">
        <v>55</v>
      </c>
      <c r="M61" s="137" t="str" cm="1">
        <f t="array" ref="M61">_xlfn.IFS(H61="h",G61*VLOOKUP(F61,Päästökertoimet!$S$5:$W$31,2,FALSE),H61="l",G61*VLOOKUP(F61,Päästökertoimet!$S$5:$W$31,4,FALSE),F61="Valitse työkone","")</f>
        <v/>
      </c>
      <c r="N61" s="139"/>
      <c r="O61" s="138" t="str" cm="1">
        <f t="array" ref="O61">_xlfn.IFS(K61&lt;&gt;"",Päästökertoimet!T37*K61,K61="","")</f>
        <v/>
      </c>
    </row>
    <row r="62" spans="6:15" ht="14" thickBot="1" x14ac:dyDescent="0.3">
      <c r="F62" s="162" t="s">
        <v>51</v>
      </c>
      <c r="G62" s="163"/>
      <c r="H62" s="164" t="s">
        <v>52</v>
      </c>
      <c r="J62" s="33" t="s">
        <v>56</v>
      </c>
      <c r="K62" s="163"/>
      <c r="L62" s="1" t="s">
        <v>55</v>
      </c>
      <c r="M62" s="137" t="str" cm="1">
        <f t="array" ref="M62">_xlfn.IFS(H62="h",G62*VLOOKUP(F62,Päästökertoimet!$S$5:$W$31,2,FALSE),H62="l",G62*VLOOKUP(F62,Päästökertoimet!$S$5:$W$31,4,FALSE),F62="Valitse työkone","")</f>
        <v/>
      </c>
      <c r="N62" s="139"/>
      <c r="O62" s="138" t="str" cm="1">
        <f t="array" ref="O62">_xlfn.IFS(K62&lt;&gt;"",Päästökertoimet!T38*K62,K62="","")</f>
        <v/>
      </c>
    </row>
    <row r="63" spans="6:15" ht="14" thickBot="1" x14ac:dyDescent="0.3">
      <c r="F63" s="162" t="s">
        <v>51</v>
      </c>
      <c r="G63" s="163"/>
      <c r="H63" s="164" t="s">
        <v>52</v>
      </c>
      <c r="J63" s="33" t="s">
        <v>57</v>
      </c>
      <c r="K63" s="163"/>
      <c r="L63" s="1" t="s">
        <v>55</v>
      </c>
      <c r="M63" s="137" t="str" cm="1">
        <f t="array" ref="M63">_xlfn.IFS(H63="h",G63*VLOOKUP(F63,Päästökertoimet!$S$5:$W$31,2,FALSE),H63="l",G63*VLOOKUP(F63,Päästökertoimet!$S$5:$W$31,4,FALSE),F63="Valitse työkone","")</f>
        <v/>
      </c>
      <c r="N63" s="139"/>
      <c r="O63" s="138" t="str" cm="1">
        <f t="array" ref="O63">_xlfn.IFS(K63&lt;&gt;"",Päästökertoimet!T39*K63,K63="","")</f>
        <v/>
      </c>
    </row>
    <row r="64" spans="6:15" ht="14" thickBot="1" x14ac:dyDescent="0.3">
      <c r="F64" s="162" t="s">
        <v>51</v>
      </c>
      <c r="G64" s="163"/>
      <c r="H64" s="164" t="s">
        <v>52</v>
      </c>
      <c r="J64" s="33"/>
      <c r="M64" s="137" t="str" cm="1">
        <f t="array" ref="M64">_xlfn.IFS(H64="h",G64*VLOOKUP(F64,Päästökertoimet!$S$5:$W$31,2,FALSE),H64="l",G64*VLOOKUP(F64,Päästökertoimet!$S$5:$W$31,4,FALSE),F64="Valitse työkone","")</f>
        <v/>
      </c>
      <c r="N64" s="139"/>
      <c r="O64" s="138"/>
    </row>
    <row r="65" spans="6:15" ht="14" thickBot="1" x14ac:dyDescent="0.3">
      <c r="F65" s="162" t="s">
        <v>51</v>
      </c>
      <c r="G65" s="163"/>
      <c r="H65" s="164" t="s">
        <v>52</v>
      </c>
      <c r="J65" s="33"/>
      <c r="M65" s="137" t="str" cm="1">
        <f t="array" ref="M65">_xlfn.IFS(H65="h",G65*VLOOKUP(F65,Päästökertoimet!$S$5:$W$31,2,FALSE),H65="l",G65*VLOOKUP(F65,Päästökertoimet!$S$5:$W$31,4,FALSE),F65="Valitse työkone","")</f>
        <v/>
      </c>
      <c r="N65" s="139"/>
      <c r="O65" s="138"/>
    </row>
    <row r="66" spans="6:15" ht="14" thickBot="1" x14ac:dyDescent="0.3">
      <c r="F66" s="162" t="s">
        <v>51</v>
      </c>
      <c r="G66" s="163"/>
      <c r="H66" s="164" t="s">
        <v>52</v>
      </c>
      <c r="J66" s="33"/>
      <c r="M66" s="137" t="str" cm="1">
        <f t="array" ref="M66">_xlfn.IFS(H66="h",G66*VLOOKUP(F66,Päästökertoimet!$S$5:$W$31,2,FALSE),H66="l",G66*VLOOKUP(F66,Päästökertoimet!$S$5:$W$31,4,FALSE),F66="Valitse työkone","")</f>
        <v/>
      </c>
      <c r="N66" s="139"/>
      <c r="O66" s="138"/>
    </row>
    <row r="67" spans="6:15" ht="14" thickBot="1" x14ac:dyDescent="0.3">
      <c r="F67" s="162" t="s">
        <v>51</v>
      </c>
      <c r="G67" s="163"/>
      <c r="H67" s="164" t="s">
        <v>52</v>
      </c>
      <c r="J67" s="33"/>
      <c r="M67" s="137" t="str" cm="1">
        <f t="array" ref="M67">_xlfn.IFS(H67="h",G67*VLOOKUP(F67,Päästökertoimet!$S$5:$W$31,2,FALSE),H67="l",G67*VLOOKUP(F67,Päästökertoimet!$S$5:$W$31,4,FALSE),F67="Valitse työkone","")</f>
        <v/>
      </c>
      <c r="N67" s="139"/>
      <c r="O67" s="138"/>
    </row>
    <row r="68" spans="6:15" ht="14" thickBot="1" x14ac:dyDescent="0.3">
      <c r="F68" s="162" t="s">
        <v>51</v>
      </c>
      <c r="G68" s="163"/>
      <c r="H68" s="164" t="s">
        <v>52</v>
      </c>
      <c r="J68" s="33"/>
      <c r="M68" s="137" t="str" cm="1">
        <f t="array" ref="M68">_xlfn.IFS(H68="h",G68*VLOOKUP(F68,Päästökertoimet!$S$5:$W$31,2,FALSE),H68="l",G68*VLOOKUP(F68,Päästökertoimet!$S$5:$W$31,4,FALSE),F68="Valitse työkone","")</f>
        <v/>
      </c>
      <c r="N68" s="139"/>
      <c r="O68" s="138"/>
    </row>
    <row r="69" spans="6:15" ht="14" thickBot="1" x14ac:dyDescent="0.3">
      <c r="F69" s="162" t="s">
        <v>51</v>
      </c>
      <c r="G69" s="163"/>
      <c r="H69" s="164" t="s">
        <v>52</v>
      </c>
      <c r="J69" s="33"/>
      <c r="M69" s="137" t="str" cm="1">
        <f t="array" ref="M69">_xlfn.IFS(H69="h",G69*VLOOKUP(F69,Päästökertoimet!$S$5:$W$31,2,FALSE),H69="l",G69*VLOOKUP(F69,Päästökertoimet!$S$5:$W$31,4,FALSE),F69="Valitse työkone","")</f>
        <v/>
      </c>
      <c r="N69" s="139"/>
      <c r="O69" s="138"/>
    </row>
    <row r="70" spans="6:15" ht="14" thickBot="1" x14ac:dyDescent="0.3">
      <c r="F70" s="162" t="s">
        <v>51</v>
      </c>
      <c r="G70" s="163"/>
      <c r="H70" s="164" t="s">
        <v>52</v>
      </c>
      <c r="J70" s="33"/>
      <c r="M70" s="137" t="str" cm="1">
        <f t="array" ref="M70">_xlfn.IFS(H70="h",G70*VLOOKUP(F70,Päästökertoimet!$S$5:$W$31,2,FALSE),H70="l",G70*VLOOKUP(F70,Päästökertoimet!$S$5:$W$31,4,FALSE),F70="Valitse työkone","")</f>
        <v/>
      </c>
      <c r="N70" s="139"/>
      <c r="O70" s="138"/>
    </row>
    <row r="71" spans="6:15" x14ac:dyDescent="0.25">
      <c r="F71" s="8"/>
      <c r="M71" s="27"/>
      <c r="N71" s="55"/>
      <c r="O71" s="56"/>
    </row>
    <row r="72" spans="6:15" ht="19.5" x14ac:dyDescent="0.35">
      <c r="F72" s="96" t="s">
        <v>366</v>
      </c>
      <c r="M72" s="25" t="s">
        <v>432</v>
      </c>
      <c r="N72" s="53"/>
      <c r="O72" s="54"/>
    </row>
    <row r="73" spans="6:15" ht="27.5" thickBot="1" x14ac:dyDescent="0.3">
      <c r="F73" s="6" t="s">
        <v>59</v>
      </c>
      <c r="G73" s="17" t="s">
        <v>60</v>
      </c>
      <c r="J73" s="17" t="s">
        <v>61</v>
      </c>
      <c r="K73" s="24" t="s">
        <v>62</v>
      </c>
      <c r="M73" s="26" t="s">
        <v>63</v>
      </c>
      <c r="N73" s="225" t="s">
        <v>64</v>
      </c>
      <c r="O73" s="56"/>
    </row>
    <row r="74" spans="6:15" ht="14" thickBot="1" x14ac:dyDescent="0.3">
      <c r="F74" s="8" t="str">
        <f>Päästökertoimet!AA5</f>
        <v>Energiajäte</v>
      </c>
      <c r="G74" s="166"/>
      <c r="H74" s="1" t="s">
        <v>29</v>
      </c>
      <c r="J74" s="171" t="s">
        <v>346</v>
      </c>
      <c r="K74" s="166"/>
      <c r="L74" s="1" t="s">
        <v>65</v>
      </c>
      <c r="M74" s="137" t="str" cm="1">
        <f t="array" ref="M74">_xlfn.IFS(G74&lt;&gt;"",G74*Päästökertoimet!AB5,G74="","")</f>
        <v/>
      </c>
      <c r="N74" s="139" t="str" cm="1">
        <f t="array" ref="N74">_xlfn.IFS(K74="","",K74&lt;&gt;"",VLOOKUP(J74,Päästökertoimet!$M$5:$N$29,2,FALSE)*Laskentasivu!G74/1000*Laskentasivu!K74)</f>
        <v/>
      </c>
      <c r="O74" s="138"/>
    </row>
    <row r="75" spans="6:15" ht="14" thickBot="1" x14ac:dyDescent="0.3">
      <c r="F75" s="8" t="str">
        <f>Päästökertoimet!AA6</f>
        <v>Rakennusjäte</v>
      </c>
      <c r="G75" s="166"/>
      <c r="H75" s="1" t="s">
        <v>29</v>
      </c>
      <c r="J75" s="171" t="s">
        <v>346</v>
      </c>
      <c r="K75" s="166"/>
      <c r="L75" s="1" t="s">
        <v>65</v>
      </c>
      <c r="M75" s="137" t="str" cm="1">
        <f t="array" ref="M75">_xlfn.IFS(G75&lt;&gt;"",G75*Päästökertoimet!AB6,G75="","")</f>
        <v/>
      </c>
      <c r="N75" s="139" t="str" cm="1">
        <f t="array" ref="N75">_xlfn.IFS(K75="","",K75&lt;&gt;"",VLOOKUP(J75,Päästökertoimet!$M$5:$N$29,2,FALSE)*Laskentasivu!G75/1000*Laskentasivu!K75)</f>
        <v/>
      </c>
      <c r="O75" s="138"/>
    </row>
    <row r="76" spans="6:15" ht="14" thickBot="1" x14ac:dyDescent="0.3">
      <c r="F76" s="8" t="str">
        <f>Päästökertoimet!AA7</f>
        <v>Metalli</v>
      </c>
      <c r="G76" s="166"/>
      <c r="H76" s="1" t="s">
        <v>29</v>
      </c>
      <c r="J76" s="171" t="s">
        <v>346</v>
      </c>
      <c r="K76" s="166"/>
      <c r="L76" s="1" t="s">
        <v>65</v>
      </c>
      <c r="M76" s="137" t="str" cm="1">
        <f t="array" ref="M76">_xlfn.IFS(G76&lt;&gt;"",G76*Päästökertoimet!AB7,G76="","")</f>
        <v/>
      </c>
      <c r="N76" s="139" t="str" cm="1">
        <f t="array" ref="N76">_xlfn.IFS(K76="","",K76&lt;&gt;"",VLOOKUP(J76,Päästökertoimet!$M$5:$N$29,2,FALSE)*Laskentasivu!G76/1000*Laskentasivu!K76)</f>
        <v/>
      </c>
      <c r="O76" s="138"/>
    </row>
    <row r="77" spans="6:15" ht="14" thickBot="1" x14ac:dyDescent="0.3">
      <c r="F77" s="8" t="str">
        <f>Päästökertoimet!AA8</f>
        <v>Kartonki/pahvi</v>
      </c>
      <c r="G77" s="166"/>
      <c r="H77" s="1" t="s">
        <v>29</v>
      </c>
      <c r="J77" s="171" t="s">
        <v>346</v>
      </c>
      <c r="K77" s="166"/>
      <c r="L77" s="1" t="s">
        <v>65</v>
      </c>
      <c r="M77" s="137" t="str" cm="1">
        <f t="array" ref="M77">_xlfn.IFS(G77&lt;&gt;"",G77*Päästökertoimet!AB8,G77="","")</f>
        <v/>
      </c>
      <c r="N77" s="139" t="str" cm="1">
        <f t="array" ref="N77">_xlfn.IFS(K77="","",K77&lt;&gt;"",VLOOKUP(J77,Päästökertoimet!$M$5:$N$29,2,FALSE)*Laskentasivu!G77/1000*Laskentasivu!K77)</f>
        <v/>
      </c>
      <c r="O77" s="138"/>
    </row>
    <row r="78" spans="6:15" ht="14" thickBot="1" x14ac:dyDescent="0.3">
      <c r="F78" s="8" t="str">
        <f>Päästökertoimet!AA9</f>
        <v>Lasi</v>
      </c>
      <c r="G78" s="166"/>
      <c r="H78" s="1" t="s">
        <v>29</v>
      </c>
      <c r="J78" s="171" t="s">
        <v>346</v>
      </c>
      <c r="K78" s="166"/>
      <c r="L78" s="1" t="s">
        <v>65</v>
      </c>
      <c r="M78" s="137" t="str" cm="1">
        <f t="array" ref="M78">_xlfn.IFS(G78&lt;&gt;"",G78*Päästökertoimet!AB9,G78="","")</f>
        <v/>
      </c>
      <c r="N78" s="139" t="str" cm="1">
        <f t="array" ref="N78">_xlfn.IFS(K78="","",K78&lt;&gt;"",VLOOKUP(J78,Päästökertoimet!$M$5:$N$29,2,FALSE)*Laskentasivu!G78/1000*Laskentasivu!K78)</f>
        <v/>
      </c>
      <c r="O78" s="138"/>
    </row>
    <row r="79" spans="6:15" ht="14" thickBot="1" x14ac:dyDescent="0.3">
      <c r="F79" s="8" t="str">
        <f>Päästökertoimet!AA10</f>
        <v>Muovi</v>
      </c>
      <c r="G79" s="166"/>
      <c r="H79" s="1" t="s">
        <v>29</v>
      </c>
      <c r="J79" s="171" t="s">
        <v>346</v>
      </c>
      <c r="K79" s="166"/>
      <c r="L79" s="1" t="s">
        <v>65</v>
      </c>
      <c r="M79" s="137" t="str" cm="1">
        <f t="array" ref="M79">_xlfn.IFS(G79&lt;&gt;"",G79*Päästökertoimet!AB10,G79="","")</f>
        <v/>
      </c>
      <c r="N79" s="139" t="str" cm="1">
        <f t="array" ref="N79">_xlfn.IFS(K79="","",K79&lt;&gt;"",VLOOKUP(J79,Päästökertoimet!$M$5:$N$29,2,FALSE)*Laskentasivu!G79/1000*Laskentasivu!K79)</f>
        <v/>
      </c>
      <c r="O79" s="138"/>
    </row>
    <row r="80" spans="6:15" ht="14" thickBot="1" x14ac:dyDescent="0.3">
      <c r="F80" s="8" t="str">
        <f>Päästökertoimet!AA11</f>
        <v>Puu</v>
      </c>
      <c r="G80" s="166"/>
      <c r="H80" s="1" t="s">
        <v>29</v>
      </c>
      <c r="J80" s="171" t="s">
        <v>346</v>
      </c>
      <c r="K80" s="166"/>
      <c r="L80" s="1" t="s">
        <v>65</v>
      </c>
      <c r="M80" s="137" t="str" cm="1">
        <f t="array" ref="M80">_xlfn.IFS(G80&lt;&gt;"",G80*Päästökertoimet!AB11,G80="","")</f>
        <v/>
      </c>
      <c r="N80" s="139" t="str" cm="1">
        <f t="array" ref="N80">_xlfn.IFS(K80="","",K80&lt;&gt;"",VLOOKUP(J80,Päästökertoimet!$M$5:$N$29,2,FALSE)*Laskentasivu!G80/1000*Laskentasivu!K80)</f>
        <v/>
      </c>
      <c r="O80" s="138"/>
    </row>
    <row r="81" spans="6:19" ht="14" thickBot="1" x14ac:dyDescent="0.3">
      <c r="F81" s="8" t="str">
        <f>Päästökertoimet!AA12</f>
        <v>Vaarallinen jäte</v>
      </c>
      <c r="G81" s="166"/>
      <c r="H81" s="1" t="s">
        <v>29</v>
      </c>
      <c r="J81" s="171" t="s">
        <v>346</v>
      </c>
      <c r="K81" s="166"/>
      <c r="L81" s="1" t="s">
        <v>65</v>
      </c>
      <c r="M81" s="137" t="str" cm="1">
        <f t="array" ref="M81">_xlfn.IFS(G81&lt;&gt;"",G81*Päästökertoimet!AB12,G81="","")</f>
        <v/>
      </c>
      <c r="N81" s="139" t="str" cm="1">
        <f t="array" ref="N81">_xlfn.IFS(K81="","",K81&lt;&gt;"",VLOOKUP(J81,Päästökertoimet!$M$5:$N$29,2,FALSE)*Laskentasivu!G81/1000*Laskentasivu!K81)</f>
        <v/>
      </c>
      <c r="O81" s="138"/>
    </row>
    <row r="82" spans="6:19" ht="14" thickBot="1" x14ac:dyDescent="0.3">
      <c r="F82" s="8" t="str">
        <f>Päästökertoimet!AA13</f>
        <v>Sekajäte (poltto)</v>
      </c>
      <c r="G82" s="166"/>
      <c r="H82" s="1" t="s">
        <v>29</v>
      </c>
      <c r="J82" s="171" t="s">
        <v>346</v>
      </c>
      <c r="K82" s="166"/>
      <c r="L82" s="1" t="s">
        <v>65</v>
      </c>
      <c r="M82" s="137" t="str" cm="1">
        <f t="array" ref="M82">_xlfn.IFS(G82&lt;&gt;"",G82*Päästökertoimet!AB13,G82="","")</f>
        <v/>
      </c>
      <c r="N82" s="139" t="str" cm="1">
        <f t="array" ref="N82">_xlfn.IFS(K82="","",K82&lt;&gt;"",VLOOKUP(J82,Päästökertoimet!$M$5:$N$29,2,FALSE)*Laskentasivu!G82/1000*Laskentasivu!K82)</f>
        <v/>
      </c>
      <c r="O82" s="138"/>
    </row>
    <row r="83" spans="6:19" ht="14" thickBot="1" x14ac:dyDescent="0.3">
      <c r="F83" s="8" t="str">
        <f>Päästökertoimet!AA14</f>
        <v>Biojäte</v>
      </c>
      <c r="G83" s="166"/>
      <c r="H83" s="1" t="s">
        <v>29</v>
      </c>
      <c r="J83" s="171" t="s">
        <v>346</v>
      </c>
      <c r="K83" s="166"/>
      <c r="L83" s="1" t="s">
        <v>65</v>
      </c>
      <c r="M83" s="137" t="str" cm="1">
        <f t="array" ref="M83">_xlfn.IFS(G83&lt;&gt;"",G83*Päästökertoimet!AB14,G83="","")</f>
        <v/>
      </c>
      <c r="N83" s="139" t="str" cm="1">
        <f t="array" ref="N83">_xlfn.IFS(K83="","",K83&lt;&gt;"",VLOOKUP(J83,Päästökertoimet!$M$5:$N$29,2,FALSE)*Laskentasivu!G83/1000*Laskentasivu!K83)</f>
        <v/>
      </c>
      <c r="O83" s="138"/>
    </row>
    <row r="84" spans="6:19" ht="14" thickBot="1" x14ac:dyDescent="0.3">
      <c r="F84" s="8" t="str">
        <f>Päästökertoimet!AA15</f>
        <v>Paperi</v>
      </c>
      <c r="G84" s="166"/>
      <c r="H84" s="1" t="s">
        <v>29</v>
      </c>
      <c r="J84" s="171" t="s">
        <v>346</v>
      </c>
      <c r="K84" s="166"/>
      <c r="L84" s="1" t="s">
        <v>65</v>
      </c>
      <c r="M84" s="137" t="str" cm="1">
        <f t="array" ref="M84">_xlfn.IFS(G84&lt;&gt;"",G84*Päästökertoimet!AB15,G84="","")</f>
        <v/>
      </c>
      <c r="N84" s="139" t="str" cm="1">
        <f t="array" ref="N84">_xlfn.IFS(K84="","",K84&lt;&gt;"",VLOOKUP(J84,Päästökertoimet!$M$5:$N$29,2,FALSE)*Laskentasivu!G84/1000*Laskentasivu!K84)</f>
        <v/>
      </c>
      <c r="O84" s="138"/>
    </row>
    <row r="85" spans="6:19" x14ac:dyDescent="0.25">
      <c r="F85" s="8"/>
      <c r="M85" s="137"/>
      <c r="N85" s="139"/>
      <c r="O85" s="138"/>
    </row>
    <row r="86" spans="6:19" x14ac:dyDescent="0.25">
      <c r="F86" s="8"/>
      <c r="M86" s="137"/>
      <c r="N86" s="139"/>
      <c r="O86" s="138"/>
    </row>
    <row r="87" spans="6:19" x14ac:dyDescent="0.25">
      <c r="F87" s="9"/>
      <c r="G87" s="10"/>
      <c r="H87" s="10"/>
      <c r="I87" s="10"/>
      <c r="J87" s="10"/>
      <c r="K87" s="10"/>
      <c r="L87" s="10"/>
      <c r="M87" s="38"/>
      <c r="N87" s="57"/>
      <c r="O87" s="52"/>
    </row>
    <row r="89" spans="6:19" ht="52.5" x14ac:dyDescent="0.35">
      <c r="H89" s="332" t="s">
        <v>68</v>
      </c>
      <c r="I89" s="333"/>
      <c r="J89" s="200" t="s">
        <v>69</v>
      </c>
      <c r="K89" s="134">
        <f>SUM(N6:N38)</f>
        <v>0</v>
      </c>
      <c r="L89" s="39" t="s">
        <v>70</v>
      </c>
      <c r="M89" s="206" t="s">
        <v>71</v>
      </c>
      <c r="N89" s="144">
        <f>SUM(N6:N21)</f>
        <v>0</v>
      </c>
      <c r="O89" s="41" t="s">
        <v>70</v>
      </c>
    </row>
    <row r="90" spans="6:19" ht="35" x14ac:dyDescent="0.35">
      <c r="H90" s="334"/>
      <c r="I90" s="335"/>
      <c r="J90" s="201" t="s">
        <v>74</v>
      </c>
      <c r="K90" s="135">
        <f>SUM(O6:O38)</f>
        <v>0</v>
      </c>
      <c r="L90" s="42" t="s">
        <v>70</v>
      </c>
      <c r="M90" s="207" t="s">
        <v>75</v>
      </c>
      <c r="N90" s="208">
        <f>SUM(N23:N38)</f>
        <v>0</v>
      </c>
      <c r="O90" s="209" t="s">
        <v>70</v>
      </c>
    </row>
    <row r="91" spans="6:19" ht="36" customHeight="1" x14ac:dyDescent="0.35">
      <c r="H91" s="334"/>
      <c r="I91" s="335"/>
      <c r="J91" s="202" t="s">
        <v>77</v>
      </c>
      <c r="K91" s="145">
        <f>SUM(M42:O71)</f>
        <v>0</v>
      </c>
      <c r="L91" s="40" t="s">
        <v>70</v>
      </c>
    </row>
    <row r="92" spans="6:19" ht="17.5" x14ac:dyDescent="0.35">
      <c r="H92" s="334"/>
      <c r="I92" s="335"/>
      <c r="J92" s="203" t="s">
        <v>63</v>
      </c>
      <c r="K92" s="135">
        <f>SUM(M74:N84)</f>
        <v>0</v>
      </c>
      <c r="L92" s="42" t="s">
        <v>70</v>
      </c>
      <c r="M92" s="43"/>
      <c r="N92" s="43"/>
      <c r="O92" s="43"/>
      <c r="P92" s="43"/>
      <c r="Q92" s="43"/>
      <c r="R92" s="43"/>
      <c r="S92" s="43"/>
    </row>
    <row r="93" spans="6:19" ht="17.5" x14ac:dyDescent="0.35">
      <c r="H93" s="334"/>
      <c r="I93" s="335"/>
      <c r="J93" s="204" t="s">
        <v>79</v>
      </c>
      <c r="K93" s="146">
        <f>SUM(K89:K92)</f>
        <v>0</v>
      </c>
      <c r="L93" s="47" t="s">
        <v>70</v>
      </c>
      <c r="M93" s="43"/>
      <c r="N93" s="43"/>
      <c r="O93" s="43"/>
      <c r="P93" s="43"/>
      <c r="Q93" s="43"/>
      <c r="R93" s="43"/>
      <c r="S93" s="43"/>
    </row>
    <row r="94" spans="6:19" ht="17.5" x14ac:dyDescent="0.35">
      <c r="H94" s="336"/>
      <c r="I94" s="337"/>
      <c r="J94" s="205" t="s">
        <v>80</v>
      </c>
      <c r="K94" s="147">
        <f>K93/1000</f>
        <v>0</v>
      </c>
      <c r="L94" s="48" t="s">
        <v>81</v>
      </c>
    </row>
    <row r="97" spans="6:33" ht="14" thickBot="1" x14ac:dyDescent="0.3"/>
    <row r="98" spans="6:33" ht="31" customHeight="1" thickBot="1" x14ac:dyDescent="0.5">
      <c r="F98" s="210" t="s">
        <v>360</v>
      </c>
      <c r="G98" s="128" t="s">
        <v>10</v>
      </c>
      <c r="H98" s="330"/>
      <c r="I98" s="331"/>
      <c r="T98" s="210" t="s">
        <v>359</v>
      </c>
    </row>
    <row r="99" spans="6:33" ht="19.5" x14ac:dyDescent="0.35">
      <c r="F99" s="97" t="s">
        <v>11</v>
      </c>
      <c r="G99" s="4"/>
      <c r="J99" s="4"/>
      <c r="K99" s="4"/>
      <c r="L99" s="4"/>
      <c r="M99" s="25"/>
      <c r="N99" s="25"/>
      <c r="O99" s="50"/>
      <c r="T99" s="3"/>
      <c r="U99" s="34"/>
      <c r="V99" s="34"/>
      <c r="W99" s="34"/>
      <c r="X99" s="34"/>
      <c r="Y99" s="34"/>
      <c r="Z99" s="34"/>
      <c r="AA99" s="34"/>
      <c r="AB99" s="34"/>
      <c r="AC99" s="34"/>
      <c r="AD99" s="34"/>
      <c r="AE99" s="37"/>
      <c r="AF99" s="37"/>
      <c r="AG99" s="54"/>
    </row>
    <row r="100" spans="6:33" ht="55" x14ac:dyDescent="0.35">
      <c r="F100" s="96" t="s">
        <v>365</v>
      </c>
      <c r="G100" s="17" t="s">
        <v>12</v>
      </c>
      <c r="H100" s="17" t="s">
        <v>13</v>
      </c>
      <c r="I100" s="17"/>
      <c r="J100" s="98" t="s">
        <v>14</v>
      </c>
      <c r="K100" s="17" t="s">
        <v>15</v>
      </c>
      <c r="L100" s="17" t="s">
        <v>13</v>
      </c>
      <c r="M100" s="26" t="s">
        <v>16</v>
      </c>
      <c r="N100" s="26" t="s">
        <v>17</v>
      </c>
      <c r="O100" s="51" t="s">
        <v>18</v>
      </c>
      <c r="T100" s="35"/>
      <c r="U100" s="24" t="s">
        <v>19</v>
      </c>
      <c r="V100" s="17" t="s">
        <v>13</v>
      </c>
      <c r="W100" s="17"/>
      <c r="X100" s="17" t="s">
        <v>333</v>
      </c>
      <c r="Y100" s="17" t="s">
        <v>13</v>
      </c>
      <c r="Z100" s="24" t="s">
        <v>329</v>
      </c>
      <c r="AA100" s="17" t="s">
        <v>13</v>
      </c>
      <c r="AB100" s="24" t="s">
        <v>20</v>
      </c>
      <c r="AC100" s="17" t="s">
        <v>13</v>
      </c>
      <c r="AD100" s="17"/>
      <c r="AE100" s="26" t="s">
        <v>21</v>
      </c>
      <c r="AF100" s="26" t="s">
        <v>22</v>
      </c>
      <c r="AG100" s="51" t="s">
        <v>23</v>
      </c>
    </row>
    <row r="101" spans="6:33" ht="14" thickBot="1" x14ac:dyDescent="0.3">
      <c r="F101" s="6" t="s">
        <v>24</v>
      </c>
      <c r="G101" s="17"/>
      <c r="H101" s="17"/>
      <c r="I101" s="17"/>
      <c r="J101" s="17"/>
      <c r="K101" s="17"/>
      <c r="L101" s="17"/>
      <c r="M101" s="26"/>
      <c r="N101" s="26"/>
      <c r="O101" s="51"/>
      <c r="T101" s="35"/>
      <c r="U101" s="36"/>
      <c r="AE101" s="27"/>
      <c r="AF101" s="27"/>
      <c r="AG101" s="56"/>
    </row>
    <row r="102" spans="6:33" ht="14" thickBot="1" x14ac:dyDescent="0.3">
      <c r="F102" s="152" t="s">
        <v>31</v>
      </c>
      <c r="G102" s="153"/>
      <c r="H102" s="154" t="s">
        <v>32</v>
      </c>
      <c r="I102" s="100"/>
      <c r="J102" s="156" t="s">
        <v>33</v>
      </c>
      <c r="K102" s="278"/>
      <c r="L102" s="1" t="s">
        <v>65</v>
      </c>
      <c r="M102" s="137" t="str" cm="1">
        <f t="array" ref="M102">_xlfn.IFS(F102&lt;&gt;"Valitse neitseellinen materiaali",N102+O102,F102="Valitse neitseellinen materiaali","")</f>
        <v/>
      </c>
      <c r="N102" s="137" t="str" cm="1">
        <f t="array" ref="N102">_xlfn.IFS(H102="kg",VLOOKUP(F102,Päästökertoimet!$C$35:$I$59,2,FALSE)*G102,H102="m3",VLOOKUP(F102,Päästökertoimet!$C$35:$I$59,6,FALSE)*G102,F102="Valitse neitseellinen materiaali","")</f>
        <v/>
      </c>
      <c r="O102" s="138" t="str" cm="1">
        <f t="array" ref="O102">_xlfn.IFS(H102="kg",VLOOKUP(Laskentasivu!J102,Päästökertoimet!$M$5:$O$29,2,FALSE)*K102*(G102/1000),H102="m3",VLOOKUP(Laskentasivu!J102,Päästökertoimet!$M$5:$O$29,2,FALSE)*K102*G102*VLOOKUP(F102,Päästökertoimet!$C$35:$I$59,4,FALSE)/1000,F102="Valitse neitseellinen materiaali","")</f>
        <v/>
      </c>
      <c r="T102" s="269" t="str">
        <f>F102</f>
        <v>Valitse neitseellinen materiaali</v>
      </c>
      <c r="U102" s="140" t="str" cm="1">
        <f t="array" ref="U102">IF(V102&lt;&gt;"",_xlfn.XLOOKUP(T102,Kustannukset!$B$15:$B$70,_xlfn.XLOOKUP(Laskentasivu!V102,Kustannukset!$C$14:$E$14,Kustannukset!$C$15:$E$70)),"")</f>
        <v/>
      </c>
      <c r="V102" s="133" t="str" cm="1">
        <f t="array" ref="V102">_xlfn.IFS(H102="kg",Aputaulukko!$F$11,H102="m3",Aputaulukko!$F$12,H102="Materiaalin yksikkö","")</f>
        <v/>
      </c>
      <c r="X102" s="285"/>
      <c r="Y102" s="1" t="s">
        <v>65</v>
      </c>
      <c r="Z102" s="285"/>
      <c r="AA102" s="1" t="s">
        <v>326</v>
      </c>
      <c r="AB102" s="170" t="str">
        <f>IF(Z102&lt;&gt;"",SUMIFS(Kustannukset!$C$78:$C$92,Kustannukset!$B$78:$B$92,Laskentasivu!J102,Kustannukset!$E$78:$E$92,Laskentasivu!X102,Kustannukset!$G$78:$G$92,Laskentasivu!Z102),"")</f>
        <v/>
      </c>
      <c r="AC102" s="1" t="s">
        <v>27</v>
      </c>
      <c r="AE102" s="137">
        <f>AF102+AG102</f>
        <v>0</v>
      </c>
      <c r="AF102" s="137" cm="1">
        <f t="array" ref="AF102">_xlfn.IFS(V102="e/kg",IF(H102="kg",U102*G102),V102="e/m3",IF(H102="m3",U102*G102),V102="",0)</f>
        <v>0</v>
      </c>
      <c r="AG102" s="138" cm="1">
        <f t="array" ref="AG102">_xlfn.IFS(AND(AB102&lt;&gt;"",H102="kg"),K102*AB102*((G102/1000)/VLOOKUP(J102,Kustannukset!$B$79:$K$92,9,FALSE)),AND(AB102&lt;&gt;"",H102="m3"),K102*AB102*((G102*VLOOKUP(F102,Päästökertoimet!$C$5:$I$59,4,FALSE)/1000)/VLOOKUP(J102,Kustannukset!$B$79:$K$92,9,FALSE)),AB102="",0)</f>
        <v>0</v>
      </c>
    </row>
    <row r="103" spans="6:33" ht="14" thickBot="1" x14ac:dyDescent="0.3">
      <c r="F103" s="152" t="s">
        <v>31</v>
      </c>
      <c r="G103" s="153"/>
      <c r="H103" s="154" t="s">
        <v>32</v>
      </c>
      <c r="I103" s="99"/>
      <c r="J103" s="156" t="s">
        <v>33</v>
      </c>
      <c r="K103" s="278"/>
      <c r="L103" s="1" t="s">
        <v>65</v>
      </c>
      <c r="M103" s="137" t="str" cm="1">
        <f t="array" ref="M103">_xlfn.IFS(F103&lt;&gt;"Valitse neitseellinen materiaali",N103+O103,F103="Valitse neitseellinen materiaali","")</f>
        <v/>
      </c>
      <c r="N103" s="137" t="str" cm="1">
        <f t="array" ref="N103">_xlfn.IFS(H103="kg",VLOOKUP(F103,Päästökertoimet!$C$35:$I$59,2,FALSE)*G103,H103="m3",VLOOKUP(F103,Päästökertoimet!$C$35:$I$59,6,FALSE)*G103,F103="Valitse neitseellinen materiaali","")</f>
        <v/>
      </c>
      <c r="O103" s="138" t="str" cm="1">
        <f t="array" ref="O103">_xlfn.IFS(H103="kg",VLOOKUP(Laskentasivu!J103,Päästökertoimet!$M$5:$O$29,2,FALSE)*K103*(G103/1000),H103="m3",VLOOKUP(Laskentasivu!J103,Päästökertoimet!$M$5:$O$29,2,FALSE)*K103*G103*VLOOKUP(F103,Päästökertoimet!$C$35:$I$59,4,FALSE)/1000,F103="Valitse neitseellinen materiaali","")</f>
        <v/>
      </c>
      <c r="T103" s="269" t="str">
        <f t="shared" ref="T103:T117" si="2">F103</f>
        <v>Valitse neitseellinen materiaali</v>
      </c>
      <c r="U103" s="140" t="str" cm="1">
        <f t="array" ref="U103">IF(V103&lt;&gt;"",_xlfn.XLOOKUP(T103,Kustannukset!$B$15:$B$70,_xlfn.XLOOKUP(Laskentasivu!V103,Kustannukset!$C$14:$E$14,Kustannukset!$C$15:$E$70)),"")</f>
        <v/>
      </c>
      <c r="V103" s="133" t="str" cm="1">
        <f t="array" ref="V103">_xlfn.IFS(H103="kg",Aputaulukko!$F$11,H103="m3",Aputaulukko!$F$12,H103="Materiaalin yksikkö","")</f>
        <v/>
      </c>
      <c r="X103" s="285"/>
      <c r="Y103" s="1" t="s">
        <v>65</v>
      </c>
      <c r="Z103" s="285"/>
      <c r="AA103" s="1" t="s">
        <v>326</v>
      </c>
      <c r="AB103" s="170" t="str">
        <f>IF(Z103&lt;&gt;"",SUMIFS(Kustannukset!$C$78:$C$92,Kustannukset!$B$78:$B$92,Laskentasivu!J103,Kustannukset!$E$78:$E$92,Laskentasivu!X103,Kustannukset!$G$78:$G$92,Laskentasivu!Z103),"")</f>
        <v/>
      </c>
      <c r="AC103" s="1" t="s">
        <v>27</v>
      </c>
      <c r="AE103" s="137">
        <f>AF103+AG103</f>
        <v>0</v>
      </c>
      <c r="AF103" s="137" cm="1">
        <f t="array" ref="AF103">_xlfn.IFS(V103="e/kg",IF(H103="kg",U103*G103),V103="e/m3",IF(H103="m3",U103*G103),V103="",0)</f>
        <v>0</v>
      </c>
      <c r="AG103" s="138" cm="1">
        <f t="array" ref="AG103">_xlfn.IFS(AND(AB103&lt;&gt;"",H103="kg"),K103*AB103*((G103/1000)/VLOOKUP(J103,Kustannukset!$B$79:$K$92,9,FALSE)),AND(AB103&lt;&gt;"",H103="m3"),K103*AB103*((G103*VLOOKUP(F103,Päästökertoimet!$C$5:$I$59,4,FALSE)/1000)/VLOOKUP(J103,Kustannukset!$B$79:$K$92,9,FALSE)),AB103="",0)</f>
        <v>0</v>
      </c>
    </row>
    <row r="104" spans="6:33" ht="14" thickBot="1" x14ac:dyDescent="0.3">
      <c r="F104" s="152" t="s">
        <v>31</v>
      </c>
      <c r="G104" s="153"/>
      <c r="H104" s="154" t="s">
        <v>32</v>
      </c>
      <c r="I104" s="99"/>
      <c r="J104" s="156" t="s">
        <v>33</v>
      </c>
      <c r="K104" s="278"/>
      <c r="L104" s="1" t="s">
        <v>65</v>
      </c>
      <c r="M104" s="137" t="str" cm="1">
        <f t="array" ref="M104">_xlfn.IFS(F104&lt;&gt;"Valitse neitseellinen materiaali",N104+O104,F104="Valitse neitseellinen materiaali","")</f>
        <v/>
      </c>
      <c r="N104" s="137" t="str" cm="1">
        <f t="array" ref="N104">_xlfn.IFS(H104="kg",VLOOKUP(F104,Päästökertoimet!$C$35:$I$59,2,FALSE)*G104,H104="m3",VLOOKUP(F104,Päästökertoimet!$C$35:$I$59,6,FALSE)*G104,F104="Valitse neitseellinen materiaali","")</f>
        <v/>
      </c>
      <c r="O104" s="138" t="str" cm="1">
        <f t="array" ref="O104">_xlfn.IFS(H104="kg",VLOOKUP(Laskentasivu!J104,Päästökertoimet!$M$5:$O$29,2,FALSE)*K104*(G104/1000),H104="m3",VLOOKUP(Laskentasivu!J104,Päästökertoimet!$M$5:$O$29,2,FALSE)*K104*G104*VLOOKUP(F104,Päästökertoimet!$C$35:$I$59,4,FALSE)/1000,F104="Valitse neitseellinen materiaali","")</f>
        <v/>
      </c>
      <c r="T104" s="269" t="str">
        <f t="shared" si="2"/>
        <v>Valitse neitseellinen materiaali</v>
      </c>
      <c r="U104" s="140" t="str" cm="1">
        <f t="array" ref="U104">IF(V104&lt;&gt;"",_xlfn.XLOOKUP(T104,Kustannukset!$B$15:$B$70,_xlfn.XLOOKUP(Laskentasivu!V104,Kustannukset!$C$14:$E$14,Kustannukset!$C$15:$E$70)),"")</f>
        <v/>
      </c>
      <c r="V104" s="133" t="str" cm="1">
        <f t="array" ref="V104">_xlfn.IFS(H104="kg",Aputaulukko!$F$11,H104="m3",Aputaulukko!$F$12,H104="Materiaalin yksikkö","")</f>
        <v/>
      </c>
      <c r="X104" s="285"/>
      <c r="Y104" s="1" t="s">
        <v>65</v>
      </c>
      <c r="Z104" s="285"/>
      <c r="AA104" s="1" t="s">
        <v>326</v>
      </c>
      <c r="AB104" s="170" t="str">
        <f>IF(Z104&lt;&gt;"",SUMIFS(Kustannukset!$C$78:$C$92,Kustannukset!$B$78:$B$92,Laskentasivu!J104,Kustannukset!$E$78:$E$92,Laskentasivu!X104,Kustannukset!$G$78:$G$92,Laskentasivu!Z104),"")</f>
        <v/>
      </c>
      <c r="AC104" s="1" t="s">
        <v>27</v>
      </c>
      <c r="AE104" s="137">
        <f t="shared" ref="AE104:AE117" si="3">AF104+AG104</f>
        <v>0</v>
      </c>
      <c r="AF104" s="137" cm="1">
        <f t="array" ref="AF104">_xlfn.IFS(V104="e/kg",IF(H104="kg",U104*G104),V104="e/m3",IF(H104="m3",U104*G104),V104="",0)</f>
        <v>0</v>
      </c>
      <c r="AG104" s="138" cm="1">
        <f t="array" ref="AG104">_xlfn.IFS(AND(AB104&lt;&gt;"",H104="kg"),K104*AB104*((G104/1000)/VLOOKUP(J104,Kustannukset!$B$79:$K$92,9,FALSE)),AND(AB104&lt;&gt;"",H104="m3"),K104*AB104*((G104*VLOOKUP(F104,Päästökertoimet!$C$5:$I$59,4,FALSE)/1000)/VLOOKUP(J104,Kustannukset!$B$79:$K$92,9,FALSE)),AB104="",0)</f>
        <v>0</v>
      </c>
    </row>
    <row r="105" spans="6:33" ht="14" thickBot="1" x14ac:dyDescent="0.3">
      <c r="F105" s="152" t="s">
        <v>31</v>
      </c>
      <c r="G105" s="153"/>
      <c r="H105" s="154" t="s">
        <v>32</v>
      </c>
      <c r="I105" s="99"/>
      <c r="J105" s="156" t="s">
        <v>33</v>
      </c>
      <c r="K105" s="278"/>
      <c r="L105" s="1" t="s">
        <v>65</v>
      </c>
      <c r="M105" s="137" t="str" cm="1">
        <f t="array" ref="M105">_xlfn.IFS(F105&lt;&gt;"Valitse neitseellinen materiaali",N105+O105,F105="Valitse neitseellinen materiaali","")</f>
        <v/>
      </c>
      <c r="N105" s="137" t="str" cm="1">
        <f t="array" ref="N105">_xlfn.IFS(H105="kg",VLOOKUP(F105,Päästökertoimet!$C$35:$I$59,2,FALSE)*G105,H105="m3",VLOOKUP(F105,Päästökertoimet!$C$35:$I$59,6,FALSE)*G105,F105="Valitse neitseellinen materiaali","")</f>
        <v/>
      </c>
      <c r="O105" s="138" t="str" cm="1">
        <f t="array" ref="O105">_xlfn.IFS(H105="kg",VLOOKUP(Laskentasivu!J105,Päästökertoimet!$M$5:$O$29,2,FALSE)*K105*(G105/1000),H105="m3",VLOOKUP(Laskentasivu!J105,Päästökertoimet!$M$5:$O$29,2,FALSE)*K105*G105*VLOOKUP(F105,Päästökertoimet!$C$35:$I$59,4,FALSE)/1000,F105="Valitse neitseellinen materiaali","")</f>
        <v/>
      </c>
      <c r="T105" s="269" t="str">
        <f t="shared" si="2"/>
        <v>Valitse neitseellinen materiaali</v>
      </c>
      <c r="U105" s="140" t="str" cm="1">
        <f t="array" ref="U105">IF(V105&lt;&gt;"",_xlfn.XLOOKUP(T105,Kustannukset!$B$15:$B$70,_xlfn.XLOOKUP(Laskentasivu!V105,Kustannukset!$C$14:$E$14,Kustannukset!$C$15:$E$70)),"")</f>
        <v/>
      </c>
      <c r="V105" s="133" t="str" cm="1">
        <f t="array" ref="V105">_xlfn.IFS(H105="kg",Aputaulukko!$F$11,H105="m3",Aputaulukko!$F$12,H105="Materiaalin yksikkö","")</f>
        <v/>
      </c>
      <c r="X105" s="285"/>
      <c r="Y105" s="1" t="s">
        <v>65</v>
      </c>
      <c r="Z105" s="285"/>
      <c r="AA105" s="1" t="s">
        <v>326</v>
      </c>
      <c r="AB105" s="170" t="str">
        <f>IF(Z105&lt;&gt;"",SUMIFS(Kustannukset!$C$78:$C$92,Kustannukset!$B$78:$B$92,Laskentasivu!J105,Kustannukset!$E$78:$E$92,Laskentasivu!X105,Kustannukset!$G$78:$G$92,Laskentasivu!Z105),"")</f>
        <v/>
      </c>
      <c r="AC105" s="1" t="s">
        <v>27</v>
      </c>
      <c r="AE105" s="137">
        <f t="shared" si="3"/>
        <v>0</v>
      </c>
      <c r="AF105" s="137" cm="1">
        <f t="array" ref="AF105">_xlfn.IFS(V105="e/kg",IF(H105="kg",U105*G105),V105="e/m3",IF(H105="m3",U105*G105),V105="",0)</f>
        <v>0</v>
      </c>
      <c r="AG105" s="138" cm="1">
        <f t="array" ref="AG105">_xlfn.IFS(AND(AB105&lt;&gt;"",H105="kg"),K105*AB105*((G105/1000)/VLOOKUP(J105,Kustannukset!$B$79:$K$92,9,FALSE)),AND(AB105&lt;&gt;"",H105="m3"),K105*AB105*((G105*VLOOKUP(F105,Päästökertoimet!$C$5:$I$59,4,FALSE)/1000)/VLOOKUP(J105,Kustannukset!$B$79:$K$92,9,FALSE)),AB105="",0)</f>
        <v>0</v>
      </c>
    </row>
    <row r="106" spans="6:33" ht="14" thickBot="1" x14ac:dyDescent="0.3">
      <c r="F106" s="152" t="s">
        <v>31</v>
      </c>
      <c r="G106" s="153"/>
      <c r="H106" s="155" t="s">
        <v>32</v>
      </c>
      <c r="I106" s="99"/>
      <c r="J106" s="156" t="s">
        <v>33</v>
      </c>
      <c r="K106" s="278"/>
      <c r="L106" s="1" t="s">
        <v>65</v>
      </c>
      <c r="M106" s="137" t="str" cm="1">
        <f t="array" ref="M106">_xlfn.IFS(F106&lt;&gt;"Valitse neitseellinen materiaali",N106+O106,F106="Valitse neitseellinen materiaali","")</f>
        <v/>
      </c>
      <c r="N106" s="137" t="str" cm="1">
        <f t="array" ref="N106">_xlfn.IFS(H106="kg",VLOOKUP(F106,Päästökertoimet!$C$35:$I$59,2,FALSE)*G106,H106="m3",VLOOKUP(F106,Päästökertoimet!$C$35:$I$59,6,FALSE)*G106,F106="Valitse neitseellinen materiaali","")</f>
        <v/>
      </c>
      <c r="O106" s="138" t="str" cm="1">
        <f t="array" ref="O106">_xlfn.IFS(H106="kg",VLOOKUP(Laskentasivu!J106,Päästökertoimet!$M$5:$O$29,2,FALSE)*K106*(G106/1000),H106="m3",VLOOKUP(Laskentasivu!J106,Päästökertoimet!$M$5:$O$29,2,FALSE)*K106*G106*VLOOKUP(F106,Päästökertoimet!$C$35:$I$59,4,FALSE)/1000,F106="Valitse neitseellinen materiaali","")</f>
        <v/>
      </c>
      <c r="T106" s="269" t="str">
        <f t="shared" si="2"/>
        <v>Valitse neitseellinen materiaali</v>
      </c>
      <c r="U106" s="140" t="str" cm="1">
        <f t="array" ref="U106">IF(V106&lt;&gt;"",_xlfn.XLOOKUP(T106,Kustannukset!$B$15:$B$70,_xlfn.XLOOKUP(Laskentasivu!V106,Kustannukset!$C$14:$E$14,Kustannukset!$C$15:$E$70)),"")</f>
        <v/>
      </c>
      <c r="V106" s="133" t="str" cm="1">
        <f t="array" ref="V106">_xlfn.IFS(H106="kg",Aputaulukko!$F$11,H106="m3",Aputaulukko!$F$12,H106="Materiaalin yksikkö","")</f>
        <v/>
      </c>
      <c r="X106" s="285" t="s">
        <v>328</v>
      </c>
      <c r="Y106" s="1" t="s">
        <v>65</v>
      </c>
      <c r="Z106" s="285"/>
      <c r="AA106" s="1" t="s">
        <v>326</v>
      </c>
      <c r="AB106" s="170" t="str">
        <f>IF(Z106&lt;&gt;"",SUMIFS(Kustannukset!$C$78:$C$92,Kustannukset!$B$78:$B$92,Laskentasivu!J106,Kustannukset!$E$78:$E$92,Laskentasivu!X106,Kustannukset!$G$78:$G$92,Laskentasivu!Z106),"")</f>
        <v/>
      </c>
      <c r="AC106" s="1" t="s">
        <v>27</v>
      </c>
      <c r="AE106" s="137">
        <f t="shared" si="3"/>
        <v>0</v>
      </c>
      <c r="AF106" s="137" cm="1">
        <f t="array" ref="AF106">_xlfn.IFS(V106="e/kg",IF(H106="kg",U106*G106),V106="e/m3",IF(H106="m3",U106*G106),V106="",0)</f>
        <v>0</v>
      </c>
      <c r="AG106" s="138" cm="1">
        <f t="array" ref="AG106">_xlfn.IFS(AND(AB106&lt;&gt;"",H106="kg"),K106*AB106*((G106/1000)/VLOOKUP(J106,Kustannukset!$B$79:$K$92,9,FALSE)),AND(AB106&lt;&gt;"",H106="m3"),K106*AB106*((G106*VLOOKUP(F106,Päästökertoimet!$C$5:$I$59,4,FALSE)/1000)/VLOOKUP(J106,Kustannukset!$B$79:$K$92,9,FALSE)),AB106="",0)</f>
        <v>0</v>
      </c>
    </row>
    <row r="107" spans="6:33" ht="14" thickBot="1" x14ac:dyDescent="0.3">
      <c r="F107" s="152" t="s">
        <v>31</v>
      </c>
      <c r="G107" s="153"/>
      <c r="H107" s="154" t="s">
        <v>32</v>
      </c>
      <c r="I107" s="99"/>
      <c r="J107" s="156" t="s">
        <v>33</v>
      </c>
      <c r="K107" s="278"/>
      <c r="L107" s="1" t="s">
        <v>65</v>
      </c>
      <c r="M107" s="137" t="str" cm="1">
        <f t="array" ref="M107">_xlfn.IFS(F107&lt;&gt;"Valitse neitseellinen materiaali",N107+O107,F107="Valitse neitseellinen materiaali","")</f>
        <v/>
      </c>
      <c r="N107" s="137" t="str" cm="1">
        <f t="array" ref="N107">_xlfn.IFS(H107="kg",VLOOKUP(F107,Päästökertoimet!$C$35:$I$59,2,FALSE)*G107,H107="m3",VLOOKUP(F107,Päästökertoimet!$C$35:$I$59,6,FALSE)*G107,F107="Valitse neitseellinen materiaali","")</f>
        <v/>
      </c>
      <c r="O107" s="138" t="str" cm="1">
        <f t="array" ref="O107">_xlfn.IFS(H107="kg",VLOOKUP(Laskentasivu!J107,Päästökertoimet!$M$5:$O$29,2,FALSE)*K107*(G107/1000),H107="m3",VLOOKUP(Laskentasivu!J107,Päästökertoimet!$M$5:$O$29,2,FALSE)*K107*G107*VLOOKUP(F107,Päästökertoimet!$C$35:$I$59,4,FALSE)/1000,F107="Valitse neitseellinen materiaali","")</f>
        <v/>
      </c>
      <c r="T107" s="269" t="str">
        <f t="shared" si="2"/>
        <v>Valitse neitseellinen materiaali</v>
      </c>
      <c r="U107" s="140" t="str" cm="1">
        <f t="array" ref="U107">IF(V107&lt;&gt;"",_xlfn.XLOOKUP(T107,Kustannukset!$B$15:$B$70,_xlfn.XLOOKUP(Laskentasivu!V107,Kustannukset!$C$14:$E$14,Kustannukset!$C$15:$E$70)),"")</f>
        <v/>
      </c>
      <c r="V107" s="133" t="str" cm="1">
        <f t="array" ref="V107">_xlfn.IFS(H107="kg",Aputaulukko!$F$11,H107="m3",Aputaulukko!$F$12,H107="Materiaalin yksikkö","")</f>
        <v/>
      </c>
      <c r="X107" s="285" t="s">
        <v>328</v>
      </c>
      <c r="Y107" s="1" t="s">
        <v>65</v>
      </c>
      <c r="Z107" s="285"/>
      <c r="AA107" s="1" t="s">
        <v>326</v>
      </c>
      <c r="AB107" s="170" t="str">
        <f>IF(Z107&lt;&gt;"",SUMIFS(Kustannukset!$C$78:$C$92,Kustannukset!$B$78:$B$92,Laskentasivu!J107,Kustannukset!$E$78:$E$92,Laskentasivu!X107,Kustannukset!$G$78:$G$92,Laskentasivu!Z107),"")</f>
        <v/>
      </c>
      <c r="AC107" s="1" t="s">
        <v>27</v>
      </c>
      <c r="AE107" s="137">
        <f t="shared" si="3"/>
        <v>0</v>
      </c>
      <c r="AF107" s="137" cm="1">
        <f t="array" ref="AF107">_xlfn.IFS(V107="e/kg",IF(H107="kg",U107*G107),V107="e/m3",IF(H107="m3",U107*G107),V107="",0)</f>
        <v>0</v>
      </c>
      <c r="AG107" s="138" cm="1">
        <f t="array" ref="AG107">_xlfn.IFS(AND(AB107&lt;&gt;"",H107="kg"),K107*AB107*((G107/1000)/VLOOKUP(J107,Kustannukset!$B$79:$K$92,9,FALSE)),AND(AB107&lt;&gt;"",H107="m3"),K107*AB107*((G107*VLOOKUP(F107,Päästökertoimet!$C$5:$I$59,4,FALSE)/1000)/VLOOKUP(J107,Kustannukset!$B$79:$K$92,9,FALSE)),AB107="",0)</f>
        <v>0</v>
      </c>
    </row>
    <row r="108" spans="6:33" ht="14" thickBot="1" x14ac:dyDescent="0.3">
      <c r="F108" s="152" t="s">
        <v>31</v>
      </c>
      <c r="G108" s="153"/>
      <c r="H108" s="154" t="s">
        <v>32</v>
      </c>
      <c r="I108" s="99"/>
      <c r="J108" s="156" t="s">
        <v>33</v>
      </c>
      <c r="K108" s="278"/>
      <c r="L108" s="1" t="s">
        <v>65</v>
      </c>
      <c r="M108" s="137" t="str" cm="1">
        <f t="array" ref="M108">_xlfn.IFS(F108&lt;&gt;"Valitse neitseellinen materiaali",N108+O108,F108="Valitse neitseellinen materiaali","")</f>
        <v/>
      </c>
      <c r="N108" s="137" t="str" cm="1">
        <f t="array" ref="N108">_xlfn.IFS(H108="kg",VLOOKUP(F108,Päästökertoimet!$C$35:$I$59,2,FALSE)*G108,H108="m3",VLOOKUP(F108,Päästökertoimet!$C$35:$I$59,6,FALSE)*G108,F108="Valitse neitseellinen materiaali","")</f>
        <v/>
      </c>
      <c r="O108" s="138" t="str" cm="1">
        <f t="array" ref="O108">_xlfn.IFS(H108="kg",VLOOKUP(Laskentasivu!J108,Päästökertoimet!$M$5:$O$29,2,FALSE)*K108*(G108/1000),H108="m3",VLOOKUP(Laskentasivu!J108,Päästökertoimet!$M$5:$O$29,2,FALSE)*K108*G108*VLOOKUP(F108,Päästökertoimet!$C$35:$I$59,4,FALSE)/1000,F108="Valitse neitseellinen materiaali","")</f>
        <v/>
      </c>
      <c r="T108" s="269" t="str">
        <f t="shared" si="2"/>
        <v>Valitse neitseellinen materiaali</v>
      </c>
      <c r="U108" s="140" t="str" cm="1">
        <f t="array" ref="U108">IF(V108&lt;&gt;"",_xlfn.XLOOKUP(T108,Kustannukset!$B$15:$B$70,_xlfn.XLOOKUP(Laskentasivu!V108,Kustannukset!$C$14:$E$14,Kustannukset!$C$15:$E$70)),"")</f>
        <v/>
      </c>
      <c r="V108" s="133" t="str" cm="1">
        <f t="array" ref="V108">_xlfn.IFS(H108="kg",Aputaulukko!$F$11,H108="m3",Aputaulukko!$F$12,H108="Materiaalin yksikkö","")</f>
        <v/>
      </c>
      <c r="X108" s="285" t="s">
        <v>328</v>
      </c>
      <c r="Y108" s="1" t="s">
        <v>65</v>
      </c>
      <c r="Z108" s="285"/>
      <c r="AA108" s="1" t="s">
        <v>326</v>
      </c>
      <c r="AB108" s="170" t="str">
        <f>IF(Z108&lt;&gt;"",SUMIFS(Kustannukset!$C$78:$C$92,Kustannukset!$B$78:$B$92,Laskentasivu!J108,Kustannukset!$E$78:$E$92,Laskentasivu!X108,Kustannukset!$G$78:$G$92,Laskentasivu!Z108),"")</f>
        <v/>
      </c>
      <c r="AC108" s="1" t="s">
        <v>27</v>
      </c>
      <c r="AE108" s="137">
        <f t="shared" si="3"/>
        <v>0</v>
      </c>
      <c r="AF108" s="137" cm="1">
        <f t="array" ref="AF108">_xlfn.IFS(V108="e/kg",IF(H108="kg",U108*G108),V108="e/m3",IF(H108="m3",U108*G108),V108="",0)</f>
        <v>0</v>
      </c>
      <c r="AG108" s="138" cm="1">
        <f t="array" ref="AG108">_xlfn.IFS(AND(AB108&lt;&gt;"",H108="kg"),K108*AB108*((G108/1000)/VLOOKUP(J108,Kustannukset!$B$79:$K$92,9,FALSE)),AND(AB108&lt;&gt;"",H108="m3"),K108*AB108*((G108*VLOOKUP(F108,Päästökertoimet!$C$5:$I$59,4,FALSE)/1000)/VLOOKUP(J108,Kustannukset!$B$79:$K$92,9,FALSE)),AB108="",0)</f>
        <v>0</v>
      </c>
    </row>
    <row r="109" spans="6:33" ht="14" thickBot="1" x14ac:dyDescent="0.3">
      <c r="F109" s="152" t="s">
        <v>31</v>
      </c>
      <c r="G109" s="153"/>
      <c r="H109" s="154" t="s">
        <v>32</v>
      </c>
      <c r="I109" s="99"/>
      <c r="J109" s="156" t="s">
        <v>33</v>
      </c>
      <c r="K109" s="278"/>
      <c r="L109" s="1" t="s">
        <v>65</v>
      </c>
      <c r="M109" s="137" t="str" cm="1">
        <f t="array" ref="M109">_xlfn.IFS(F109&lt;&gt;"Valitse neitseellinen materiaali",N109+O109,F109="Valitse neitseellinen materiaali","")</f>
        <v/>
      </c>
      <c r="N109" s="137" t="str" cm="1">
        <f t="array" ref="N109">_xlfn.IFS(H109="kg",VLOOKUP(F109,Päästökertoimet!$C$35:$I$59,2,FALSE)*G109,H109="m3",VLOOKUP(F109,Päästökertoimet!$C$35:$I$59,6,FALSE)*G109,F109="Valitse neitseellinen materiaali","")</f>
        <v/>
      </c>
      <c r="O109" s="138" t="str" cm="1">
        <f t="array" ref="O109">_xlfn.IFS(H109="kg",VLOOKUP(Laskentasivu!J109,Päästökertoimet!$M$5:$O$29,2,FALSE)*K109*(G109/1000),H109="m3",VLOOKUP(Laskentasivu!J109,Päästökertoimet!$M$5:$O$29,2,FALSE)*K109*G109*VLOOKUP(F109,Päästökertoimet!$C$35:$I$59,4,FALSE)/1000,F109="Valitse neitseellinen materiaali","")</f>
        <v/>
      </c>
      <c r="T109" s="269" t="str">
        <f t="shared" si="2"/>
        <v>Valitse neitseellinen materiaali</v>
      </c>
      <c r="U109" s="140" t="str" cm="1">
        <f t="array" ref="U109">IF(V109&lt;&gt;"",_xlfn.XLOOKUP(T109,Kustannukset!$B$15:$B$70,_xlfn.XLOOKUP(Laskentasivu!V109,Kustannukset!$C$14:$E$14,Kustannukset!$C$15:$E$70)),"")</f>
        <v/>
      </c>
      <c r="V109" s="133" t="str" cm="1">
        <f t="array" ref="V109">_xlfn.IFS(H109="kg",Aputaulukko!$F$11,H109="m3",Aputaulukko!$F$12,H109="Materiaalin yksikkö","")</f>
        <v/>
      </c>
      <c r="X109" s="285" t="s">
        <v>328</v>
      </c>
      <c r="Y109" s="1" t="s">
        <v>65</v>
      </c>
      <c r="Z109" s="285"/>
      <c r="AA109" s="1" t="s">
        <v>326</v>
      </c>
      <c r="AB109" s="170" t="str">
        <f>IF(Z109&lt;&gt;"",SUMIFS(Kustannukset!$C$78:$C$92,Kustannukset!$B$78:$B$92,Laskentasivu!J109,Kustannukset!$E$78:$E$92,Laskentasivu!X109,Kustannukset!$G$78:$G$92,Laskentasivu!Z109),"")</f>
        <v/>
      </c>
      <c r="AC109" s="1" t="s">
        <v>27</v>
      </c>
      <c r="AE109" s="137">
        <f t="shared" si="3"/>
        <v>0</v>
      </c>
      <c r="AF109" s="137" cm="1">
        <f t="array" ref="AF109">_xlfn.IFS(V109="e/kg",IF(H109="kg",U109*G109),V109="e/m3",IF(H109="m3",U109*G109),V109="",0)</f>
        <v>0</v>
      </c>
      <c r="AG109" s="138" cm="1">
        <f t="array" ref="AG109">_xlfn.IFS(AND(AB109&lt;&gt;"",H109="kg"),K109*AB109*((G109/1000)/VLOOKUP(J109,Kustannukset!$B$79:$K$92,9,FALSE)),AND(AB109&lt;&gt;"",H109="m3"),K109*AB109*((G109*VLOOKUP(F109,Päästökertoimet!$C$5:$I$59,4,FALSE)/1000)/VLOOKUP(J109,Kustannukset!$B$79:$K$92,9,FALSE)),AB109="",0)</f>
        <v>0</v>
      </c>
    </row>
    <row r="110" spans="6:33" ht="14" thickBot="1" x14ac:dyDescent="0.3">
      <c r="F110" s="152" t="s">
        <v>31</v>
      </c>
      <c r="G110" s="153"/>
      <c r="H110" s="154" t="s">
        <v>32</v>
      </c>
      <c r="I110" s="99"/>
      <c r="J110" s="156" t="s">
        <v>33</v>
      </c>
      <c r="K110" s="278"/>
      <c r="L110" s="1" t="s">
        <v>65</v>
      </c>
      <c r="M110" s="137" t="str" cm="1">
        <f t="array" ref="M110">_xlfn.IFS(F110&lt;&gt;"Valitse neitseellinen materiaali",N110+O110,F110="Valitse neitseellinen materiaali","")</f>
        <v/>
      </c>
      <c r="N110" s="137" t="str" cm="1">
        <f t="array" ref="N110">_xlfn.IFS(H110="kg",VLOOKUP(F110,Päästökertoimet!$C$35:$I$59,2,FALSE)*G110,H110="m3",VLOOKUP(F110,Päästökertoimet!$C$35:$I$59,6,FALSE)*G110,F110="Valitse neitseellinen materiaali","")</f>
        <v/>
      </c>
      <c r="O110" s="138" t="str" cm="1">
        <f t="array" ref="O110">_xlfn.IFS(H110="kg",VLOOKUP(Laskentasivu!J110,Päästökertoimet!$M$5:$O$29,2,FALSE)*K110*(G110/1000),H110="m3",VLOOKUP(Laskentasivu!J110,Päästökertoimet!$M$5:$O$29,2,FALSE)*K110*G110*VLOOKUP(F110,Päästökertoimet!$C$35:$I$59,4,FALSE)/1000,F110="Valitse neitseellinen materiaali","")</f>
        <v/>
      </c>
      <c r="T110" s="269" t="str">
        <f t="shared" si="2"/>
        <v>Valitse neitseellinen materiaali</v>
      </c>
      <c r="U110" s="140" t="str" cm="1">
        <f t="array" ref="U110">IF(V110&lt;&gt;"",_xlfn.XLOOKUP(T110,Kustannukset!$B$15:$B$70,_xlfn.XLOOKUP(Laskentasivu!V110,Kustannukset!$C$14:$E$14,Kustannukset!$C$15:$E$70)),"")</f>
        <v/>
      </c>
      <c r="V110" s="133" t="str" cm="1">
        <f t="array" ref="V110">_xlfn.IFS(H110="kg",Aputaulukko!$F$11,H110="m3",Aputaulukko!$F$12,H110="Materiaalin yksikkö","")</f>
        <v/>
      </c>
      <c r="X110" s="285" t="s">
        <v>328</v>
      </c>
      <c r="Y110" s="1" t="s">
        <v>65</v>
      </c>
      <c r="Z110" s="285"/>
      <c r="AA110" s="1" t="s">
        <v>326</v>
      </c>
      <c r="AB110" s="170" t="str">
        <f>IF(Z110&lt;&gt;"",SUMIFS(Kustannukset!$C$78:$C$92,Kustannukset!$B$78:$B$92,Laskentasivu!J110,Kustannukset!$E$78:$E$92,Laskentasivu!X110,Kustannukset!$G$78:$G$92,Laskentasivu!Z110),"")</f>
        <v/>
      </c>
      <c r="AC110" s="1" t="s">
        <v>27</v>
      </c>
      <c r="AE110" s="137">
        <f t="shared" si="3"/>
        <v>0</v>
      </c>
      <c r="AF110" s="137" cm="1">
        <f t="array" ref="AF110">_xlfn.IFS(V110="e/kg",IF(H110="kg",U110*G110),V110="e/m3",IF(H110="m3",U110*G110),V110="",0)</f>
        <v>0</v>
      </c>
      <c r="AG110" s="138" cm="1">
        <f t="array" ref="AG110">_xlfn.IFS(AND(AB110&lt;&gt;"",H110="kg"),K110*AB110*((G110/1000)/VLOOKUP(J110,Kustannukset!$B$79:$K$92,9,FALSE)),AND(AB110&lt;&gt;"",H110="m3"),K110*AB110*((G110*VLOOKUP(F110,Päästökertoimet!$C$5:$I$59,4,FALSE)/1000)/VLOOKUP(J110,Kustannukset!$B$79:$K$92,9,FALSE)),AB110="",0)</f>
        <v>0</v>
      </c>
    </row>
    <row r="111" spans="6:33" ht="14" thickBot="1" x14ac:dyDescent="0.3">
      <c r="F111" s="152" t="s">
        <v>31</v>
      </c>
      <c r="G111" s="153"/>
      <c r="H111" s="154" t="s">
        <v>32</v>
      </c>
      <c r="I111" s="99"/>
      <c r="J111" s="156" t="s">
        <v>33</v>
      </c>
      <c r="K111" s="278"/>
      <c r="L111" s="1" t="s">
        <v>65</v>
      </c>
      <c r="M111" s="137" t="str" cm="1">
        <f t="array" ref="M111">_xlfn.IFS(F111&lt;&gt;"Valitse neitseellinen materiaali",N111+O111,F111="Valitse neitseellinen materiaali","")</f>
        <v/>
      </c>
      <c r="N111" s="137" t="str" cm="1">
        <f t="array" ref="N111">_xlfn.IFS(H111="kg",VLOOKUP(F111,Päästökertoimet!$C$35:$I$59,2,FALSE)*G111,H111="m3",VLOOKUP(F111,Päästökertoimet!$C$35:$I$59,6,FALSE)*G111,F111="Valitse neitseellinen materiaali","")</f>
        <v/>
      </c>
      <c r="O111" s="138" t="str" cm="1">
        <f t="array" ref="O111">_xlfn.IFS(H111="kg",VLOOKUP(Laskentasivu!J111,Päästökertoimet!$M$5:$O$29,2,FALSE)*K111*(G111/1000),H111="m3",VLOOKUP(Laskentasivu!J111,Päästökertoimet!$M$5:$O$29,2,FALSE)*K111*G111*VLOOKUP(F111,Päästökertoimet!$C$35:$I$59,4,FALSE)/1000,F111="Valitse neitseellinen materiaali","")</f>
        <v/>
      </c>
      <c r="T111" s="269" t="str">
        <f t="shared" si="2"/>
        <v>Valitse neitseellinen materiaali</v>
      </c>
      <c r="U111" s="140" t="str" cm="1">
        <f t="array" ref="U111">IF(V111&lt;&gt;"",_xlfn.XLOOKUP(T111,Kustannukset!$B$15:$B$70,_xlfn.XLOOKUP(Laskentasivu!V111,Kustannukset!$C$14:$E$14,Kustannukset!$C$15:$E$70)),"")</f>
        <v/>
      </c>
      <c r="V111" s="133" t="str" cm="1">
        <f t="array" ref="V111">_xlfn.IFS(H111="kg",Aputaulukko!$F$11,H111="m3",Aputaulukko!$F$12,H111="Materiaalin yksikkö","")</f>
        <v/>
      </c>
      <c r="X111" s="285" t="s">
        <v>328</v>
      </c>
      <c r="Y111" s="1" t="s">
        <v>65</v>
      </c>
      <c r="Z111" s="285"/>
      <c r="AA111" s="1" t="s">
        <v>326</v>
      </c>
      <c r="AB111" s="170" t="str">
        <f>IF(Z111&lt;&gt;"",SUMIFS(Kustannukset!$C$78:$C$92,Kustannukset!$B$78:$B$92,Laskentasivu!J111,Kustannukset!$E$78:$E$92,Laskentasivu!X111,Kustannukset!$G$78:$G$92,Laskentasivu!Z111),"")</f>
        <v/>
      </c>
      <c r="AC111" s="1" t="s">
        <v>27</v>
      </c>
      <c r="AE111" s="137">
        <f t="shared" si="3"/>
        <v>0</v>
      </c>
      <c r="AF111" s="137" cm="1">
        <f t="array" ref="AF111">_xlfn.IFS(V111="e/kg",IF(H111="kg",U111*G111),V111="e/m3",IF(H111="m3",U111*G111),V111="",0)</f>
        <v>0</v>
      </c>
      <c r="AG111" s="138" cm="1">
        <f t="array" ref="AG111">_xlfn.IFS(AND(AB111&lt;&gt;"",H111="kg"),K111*AB111*((G111/1000)/VLOOKUP(J111,Kustannukset!$B$79:$K$92,9,FALSE)),AND(AB111&lt;&gt;"",H111="m3"),K111*AB111*((G111*VLOOKUP(F111,Päästökertoimet!$C$5:$I$59,4,FALSE)/1000)/VLOOKUP(J111,Kustannukset!$B$79:$K$92,9,FALSE)),AB111="",0)</f>
        <v>0</v>
      </c>
    </row>
    <row r="112" spans="6:33" ht="14" thickBot="1" x14ac:dyDescent="0.3">
      <c r="F112" s="152" t="s">
        <v>31</v>
      </c>
      <c r="G112" s="153"/>
      <c r="H112" s="154" t="s">
        <v>32</v>
      </c>
      <c r="I112" s="99"/>
      <c r="J112" s="156" t="s">
        <v>33</v>
      </c>
      <c r="K112" s="278"/>
      <c r="L112" s="1" t="s">
        <v>65</v>
      </c>
      <c r="M112" s="137" t="str" cm="1">
        <f t="array" ref="M112">_xlfn.IFS(F112&lt;&gt;"Valitse neitseellinen materiaali",N112+O112,F112="Valitse neitseellinen materiaali","")</f>
        <v/>
      </c>
      <c r="N112" s="137" t="str" cm="1">
        <f t="array" ref="N112">_xlfn.IFS(H112="kg",VLOOKUP(F112,Päästökertoimet!$C$35:$I$59,2,FALSE)*G112,H112="m3",VLOOKUP(F112,Päästökertoimet!$C$35:$I$59,6,FALSE)*G112,F112="Valitse neitseellinen materiaali","")</f>
        <v/>
      </c>
      <c r="O112" s="138" t="str" cm="1">
        <f t="array" ref="O112">_xlfn.IFS(H112="kg",VLOOKUP(Laskentasivu!J112,Päästökertoimet!$M$5:$O$29,2,FALSE)*K112*(G112/1000),H112="m3",VLOOKUP(Laskentasivu!J112,Päästökertoimet!$M$5:$O$29,2,FALSE)*K112*G112*VLOOKUP(F112,Päästökertoimet!$C$35:$I$59,4,FALSE)/1000,F112="Valitse neitseellinen materiaali","")</f>
        <v/>
      </c>
      <c r="T112" s="269" t="str">
        <f t="shared" si="2"/>
        <v>Valitse neitseellinen materiaali</v>
      </c>
      <c r="U112" s="140" t="str" cm="1">
        <f t="array" ref="U112">IF(V112&lt;&gt;"",_xlfn.XLOOKUP(T112,Kustannukset!$B$15:$B$70,_xlfn.XLOOKUP(Laskentasivu!V112,Kustannukset!$C$14:$E$14,Kustannukset!$C$15:$E$70)),"")</f>
        <v/>
      </c>
      <c r="V112" s="133" t="str" cm="1">
        <f t="array" ref="V112">_xlfn.IFS(H112="kg",Aputaulukko!$F$11,H112="m3",Aputaulukko!$F$12,H112="Materiaalin yksikkö","")</f>
        <v/>
      </c>
      <c r="X112" s="285" t="s">
        <v>328</v>
      </c>
      <c r="Y112" s="1" t="s">
        <v>65</v>
      </c>
      <c r="Z112" s="285"/>
      <c r="AA112" s="1" t="s">
        <v>326</v>
      </c>
      <c r="AB112" s="170" t="str">
        <f>IF(Z112&lt;&gt;"",SUMIFS(Kustannukset!$C$78:$C$92,Kustannukset!$B$78:$B$92,Laskentasivu!J112,Kustannukset!$E$78:$E$92,Laskentasivu!X112,Kustannukset!$G$78:$G$92,Laskentasivu!Z112),"")</f>
        <v/>
      </c>
      <c r="AC112" s="1" t="s">
        <v>27</v>
      </c>
      <c r="AE112" s="137">
        <f t="shared" si="3"/>
        <v>0</v>
      </c>
      <c r="AF112" s="137" cm="1">
        <f t="array" ref="AF112">_xlfn.IFS(V112="e/kg",IF(H112="kg",U112*G112),V112="e/m3",IF(H112="m3",U112*G112),V112="",0)</f>
        <v>0</v>
      </c>
      <c r="AG112" s="138" cm="1">
        <f t="array" ref="AG112">_xlfn.IFS(AND(AB112&lt;&gt;"",H112="kg"),K112*AB112*((G112/1000)/VLOOKUP(J112,Kustannukset!$B$79:$K$92,9,FALSE)),AND(AB112&lt;&gt;"",H112="m3"),K112*AB112*((G112*VLOOKUP(F112,Päästökertoimet!$C$5:$I$59,4,FALSE)/1000)/VLOOKUP(J112,Kustannukset!$B$79:$K$92,9,FALSE)),AB112="",0)</f>
        <v>0</v>
      </c>
    </row>
    <row r="113" spans="6:33" ht="14" thickBot="1" x14ac:dyDescent="0.3">
      <c r="F113" s="152" t="s">
        <v>31</v>
      </c>
      <c r="G113" s="153"/>
      <c r="H113" s="154" t="s">
        <v>32</v>
      </c>
      <c r="I113" s="99"/>
      <c r="J113" s="156" t="s">
        <v>33</v>
      </c>
      <c r="K113" s="278"/>
      <c r="L113" s="1" t="s">
        <v>65</v>
      </c>
      <c r="M113" s="137" t="str" cm="1">
        <f t="array" ref="M113">_xlfn.IFS(F113&lt;&gt;"Valitse neitseellinen materiaali",N113+O113,F113="Valitse neitseellinen materiaali","")</f>
        <v/>
      </c>
      <c r="N113" s="137" t="str" cm="1">
        <f t="array" ref="N113">_xlfn.IFS(H113="kg",VLOOKUP(F113,Päästökertoimet!$C$35:$I$59,2,FALSE)*G113,H113="m3",VLOOKUP(F113,Päästökertoimet!$C$35:$I$59,6,FALSE)*G113,F113="Valitse neitseellinen materiaali","")</f>
        <v/>
      </c>
      <c r="O113" s="138" t="str" cm="1">
        <f t="array" ref="O113">_xlfn.IFS(H113="kg",VLOOKUP(Laskentasivu!J113,Päästökertoimet!$M$5:$O$29,2,FALSE)*K113*(G113/1000),H113="m3",VLOOKUP(Laskentasivu!J113,Päästökertoimet!$M$5:$O$29,2,FALSE)*K113*G113*VLOOKUP(F113,Päästökertoimet!$C$35:$I$59,4,FALSE)/1000,F113="Valitse neitseellinen materiaali","")</f>
        <v/>
      </c>
      <c r="T113" s="269" t="str">
        <f t="shared" si="2"/>
        <v>Valitse neitseellinen materiaali</v>
      </c>
      <c r="U113" s="140" t="str" cm="1">
        <f t="array" ref="U113">IF(V113&lt;&gt;"",_xlfn.XLOOKUP(T113,Kustannukset!$B$15:$B$70,_xlfn.XLOOKUP(Laskentasivu!V113,Kustannukset!$C$14:$E$14,Kustannukset!$C$15:$E$70)),"")</f>
        <v/>
      </c>
      <c r="V113" s="133" t="str" cm="1">
        <f t="array" ref="V113">_xlfn.IFS(H113="kg",Aputaulukko!$F$11,H113="m3",Aputaulukko!$F$12,H113="Materiaalin yksikkö","")</f>
        <v/>
      </c>
      <c r="X113" s="285" t="s">
        <v>328</v>
      </c>
      <c r="Y113" s="1" t="s">
        <v>65</v>
      </c>
      <c r="Z113" s="285"/>
      <c r="AA113" s="1" t="s">
        <v>326</v>
      </c>
      <c r="AB113" s="170" t="str">
        <f>IF(Z113&lt;&gt;"",SUMIFS(Kustannukset!$C$78:$C$92,Kustannukset!$B$78:$B$92,Laskentasivu!J113,Kustannukset!$E$78:$E$92,Laskentasivu!X113,Kustannukset!$G$78:$G$92,Laskentasivu!Z113),"")</f>
        <v/>
      </c>
      <c r="AC113" s="1" t="s">
        <v>27</v>
      </c>
      <c r="AE113" s="137">
        <f t="shared" si="3"/>
        <v>0</v>
      </c>
      <c r="AF113" s="137" cm="1">
        <f t="array" ref="AF113">_xlfn.IFS(V113="e/kg",IF(H113="kg",U113*G113),V113="e/m3",IF(H113="m3",U113*G113),V113="",0)</f>
        <v>0</v>
      </c>
      <c r="AG113" s="138" cm="1">
        <f t="array" ref="AG113">_xlfn.IFS(AND(AB113&lt;&gt;"",H113="kg"),K113*AB113*((G113/1000)/VLOOKUP(J113,Kustannukset!$B$79:$K$92,9,FALSE)),AND(AB113&lt;&gt;"",H113="m3"),K113*AB113*((G113*VLOOKUP(F113,Päästökertoimet!$C$5:$I$59,4,FALSE)/1000)/VLOOKUP(J113,Kustannukset!$B$79:$K$92,9,FALSE)),AB113="",0)</f>
        <v>0</v>
      </c>
    </row>
    <row r="114" spans="6:33" ht="14" thickBot="1" x14ac:dyDescent="0.3">
      <c r="F114" s="152" t="s">
        <v>31</v>
      </c>
      <c r="G114" s="153"/>
      <c r="H114" s="154" t="s">
        <v>32</v>
      </c>
      <c r="I114" s="99"/>
      <c r="J114" s="156" t="s">
        <v>33</v>
      </c>
      <c r="K114" s="278"/>
      <c r="L114" s="1" t="s">
        <v>65</v>
      </c>
      <c r="M114" s="137" t="str" cm="1">
        <f t="array" ref="M114">_xlfn.IFS(F114&lt;&gt;"Valitse neitseellinen materiaali",N114+O114,F114="Valitse neitseellinen materiaali","")</f>
        <v/>
      </c>
      <c r="N114" s="137" t="str" cm="1">
        <f t="array" ref="N114">_xlfn.IFS(H114="kg",VLOOKUP(F114,Päästökertoimet!$C$35:$I$59,2,FALSE)*G114,H114="m3",VLOOKUP(F114,Päästökertoimet!$C$35:$I$59,6,FALSE)*G114,F114="Valitse neitseellinen materiaali","")</f>
        <v/>
      </c>
      <c r="O114" s="138" t="str" cm="1">
        <f t="array" ref="O114">_xlfn.IFS(H114="kg",VLOOKUP(Laskentasivu!J114,Päästökertoimet!$M$5:$O$29,2,FALSE)*K114*(G114/1000),H114="m3",VLOOKUP(Laskentasivu!J114,Päästökertoimet!$M$5:$O$29,2,FALSE)*K114*G114*VLOOKUP(F114,Päästökertoimet!$C$35:$I$59,4,FALSE)/1000,F114="Valitse neitseellinen materiaali","")</f>
        <v/>
      </c>
      <c r="T114" s="269" t="str">
        <f t="shared" si="2"/>
        <v>Valitse neitseellinen materiaali</v>
      </c>
      <c r="U114" s="140" t="str" cm="1">
        <f t="array" ref="U114">IF(V114&lt;&gt;"",_xlfn.XLOOKUP(T114,Kustannukset!$B$15:$B$70,_xlfn.XLOOKUP(Laskentasivu!V114,Kustannukset!$C$14:$E$14,Kustannukset!$C$15:$E$70)),"")</f>
        <v/>
      </c>
      <c r="V114" s="133" t="str" cm="1">
        <f t="array" ref="V114">_xlfn.IFS(H114="kg",Aputaulukko!$F$11,H114="m3",Aputaulukko!$F$12,H114="Materiaalin yksikkö","")</f>
        <v/>
      </c>
      <c r="X114" s="285" t="s">
        <v>328</v>
      </c>
      <c r="Y114" s="1" t="s">
        <v>65</v>
      </c>
      <c r="Z114" s="285"/>
      <c r="AA114" s="1" t="s">
        <v>326</v>
      </c>
      <c r="AB114" s="170" t="str">
        <f>IF(Z114&lt;&gt;"",SUMIFS(Kustannukset!$C$78:$C$92,Kustannukset!$B$78:$B$92,Laskentasivu!J114,Kustannukset!$E$78:$E$92,Laskentasivu!X114,Kustannukset!$G$78:$G$92,Laskentasivu!Z114),"")</f>
        <v/>
      </c>
      <c r="AC114" s="1" t="s">
        <v>27</v>
      </c>
      <c r="AE114" s="137">
        <f t="shared" si="3"/>
        <v>0</v>
      </c>
      <c r="AF114" s="137" cm="1">
        <f t="array" ref="AF114">_xlfn.IFS(V114="e/kg",IF(H114="kg",U114*G114),V114="e/m3",IF(H114="m3",U114*G114),V114="",0)</f>
        <v>0</v>
      </c>
      <c r="AG114" s="138" cm="1">
        <f t="array" ref="AG114">_xlfn.IFS(AND(AB114&lt;&gt;"",H114="kg"),K114*AB114*((G114/1000)/VLOOKUP(J114,Kustannukset!$B$79:$K$92,9,FALSE)),AND(AB114&lt;&gt;"",H114="m3"),K114*AB114*((G114*VLOOKUP(F114,Päästökertoimet!$C$5:$I$59,4,FALSE)/1000)/VLOOKUP(J114,Kustannukset!$B$79:$K$92,9,FALSE)),AB114="",0)</f>
        <v>0</v>
      </c>
    </row>
    <row r="115" spans="6:33" ht="14" thickBot="1" x14ac:dyDescent="0.3">
      <c r="F115" s="152" t="s">
        <v>31</v>
      </c>
      <c r="G115" s="153"/>
      <c r="H115" s="154" t="s">
        <v>32</v>
      </c>
      <c r="I115" s="99"/>
      <c r="J115" s="156" t="s">
        <v>33</v>
      </c>
      <c r="K115" s="278"/>
      <c r="L115" s="1" t="s">
        <v>65</v>
      </c>
      <c r="M115" s="137" t="str" cm="1">
        <f t="array" ref="M115">_xlfn.IFS(F115&lt;&gt;"Valitse neitseellinen materiaali",N115+O115,F115="Valitse neitseellinen materiaali","")</f>
        <v/>
      </c>
      <c r="N115" s="137" t="str" cm="1">
        <f t="array" ref="N115">_xlfn.IFS(H115="kg",VLOOKUP(F115,Päästökertoimet!$C$35:$I$59,2,FALSE)*G115,H115="m3",VLOOKUP(F115,Päästökertoimet!$C$35:$I$59,6,FALSE)*G115,F115="Valitse neitseellinen materiaali","")</f>
        <v/>
      </c>
      <c r="O115" s="138" t="str" cm="1">
        <f t="array" ref="O115">_xlfn.IFS(H115="kg",VLOOKUP(Laskentasivu!J115,Päästökertoimet!$M$5:$O$29,2,FALSE)*K115*(G115/1000),H115="m3",VLOOKUP(Laskentasivu!J115,Päästökertoimet!$M$5:$O$29,2,FALSE)*K115*G115*VLOOKUP(F115,Päästökertoimet!$C$35:$I$59,4,FALSE)/1000,F115="Valitse neitseellinen materiaali","")</f>
        <v/>
      </c>
      <c r="T115" s="269" t="str">
        <f t="shared" si="2"/>
        <v>Valitse neitseellinen materiaali</v>
      </c>
      <c r="U115" s="140" t="str" cm="1">
        <f t="array" ref="U115">IF(V115&lt;&gt;"",_xlfn.XLOOKUP(T115,Kustannukset!$B$15:$B$70,_xlfn.XLOOKUP(Laskentasivu!V115,Kustannukset!$C$14:$E$14,Kustannukset!$C$15:$E$70)),"")</f>
        <v/>
      </c>
      <c r="V115" s="133" t="str" cm="1">
        <f t="array" ref="V115">_xlfn.IFS(H115="kg",Aputaulukko!$F$11,H115="m3",Aputaulukko!$F$12,H115="Materiaalin yksikkö","")</f>
        <v/>
      </c>
      <c r="X115" s="285" t="s">
        <v>328</v>
      </c>
      <c r="Y115" s="1" t="s">
        <v>65</v>
      </c>
      <c r="Z115" s="285"/>
      <c r="AA115" s="1" t="s">
        <v>326</v>
      </c>
      <c r="AB115" s="170" t="str">
        <f>IF(Z115&lt;&gt;"",SUMIFS(Kustannukset!$C$78:$C$92,Kustannukset!$B$78:$B$92,Laskentasivu!J115,Kustannukset!$E$78:$E$92,Laskentasivu!X115,Kustannukset!$G$78:$G$92,Laskentasivu!Z115),"")</f>
        <v/>
      </c>
      <c r="AC115" s="1" t="s">
        <v>27</v>
      </c>
      <c r="AE115" s="137">
        <f t="shared" si="3"/>
        <v>0</v>
      </c>
      <c r="AF115" s="137" cm="1">
        <f t="array" ref="AF115">_xlfn.IFS(V115="e/kg",IF(H115="kg",U115*G115),V115="e/m3",IF(H115="m3",U115*G115),V115="",0)</f>
        <v>0</v>
      </c>
      <c r="AG115" s="138" cm="1">
        <f t="array" ref="AG115">_xlfn.IFS(AND(AB115&lt;&gt;"",H115="kg"),K115*AB115*((G115/1000)/VLOOKUP(J115,Kustannukset!$B$79:$K$92,9,FALSE)),AND(AB115&lt;&gt;"",H115="m3"),K115*AB115*((G115*VLOOKUP(F115,Päästökertoimet!$C$5:$I$59,4,FALSE)/1000)/VLOOKUP(J115,Kustannukset!$B$79:$K$92,9,FALSE)),AB115="",0)</f>
        <v>0</v>
      </c>
    </row>
    <row r="116" spans="6:33" ht="14" thickBot="1" x14ac:dyDescent="0.3">
      <c r="F116" s="152" t="s">
        <v>31</v>
      </c>
      <c r="G116" s="153"/>
      <c r="H116" s="154" t="s">
        <v>32</v>
      </c>
      <c r="I116" s="99"/>
      <c r="J116" s="156" t="s">
        <v>33</v>
      </c>
      <c r="K116" s="278"/>
      <c r="L116" s="1" t="s">
        <v>65</v>
      </c>
      <c r="M116" s="137" t="str" cm="1">
        <f t="array" ref="M116">_xlfn.IFS(F116&lt;&gt;"Valitse neitseellinen materiaali",N116+O116,F116="Valitse neitseellinen materiaali","")</f>
        <v/>
      </c>
      <c r="N116" s="137" t="str" cm="1">
        <f t="array" ref="N116">_xlfn.IFS(H116="kg",VLOOKUP(F116,Päästökertoimet!$C$35:$I$59,2,FALSE)*G116,H116="m3",VLOOKUP(F116,Päästökertoimet!$C$35:$I$59,6,FALSE)*G116,F116="Valitse neitseellinen materiaali","")</f>
        <v/>
      </c>
      <c r="O116" s="138" t="str" cm="1">
        <f t="array" ref="O116">_xlfn.IFS(H116="kg",VLOOKUP(Laskentasivu!J116,Päästökertoimet!$M$5:$O$29,2,FALSE)*K116*(G116/1000),H116="m3",VLOOKUP(Laskentasivu!J116,Päästökertoimet!$M$5:$O$29,2,FALSE)*K116*G116*VLOOKUP(F116,Päästökertoimet!$C$35:$I$59,4,FALSE)/1000,F116="Valitse neitseellinen materiaali","")</f>
        <v/>
      </c>
      <c r="T116" s="269" t="str">
        <f t="shared" si="2"/>
        <v>Valitse neitseellinen materiaali</v>
      </c>
      <c r="U116" s="140" t="str" cm="1">
        <f t="array" ref="U116">IF(V116&lt;&gt;"",_xlfn.XLOOKUP(T116,Kustannukset!$B$15:$B$70,_xlfn.XLOOKUP(Laskentasivu!V116,Kustannukset!$C$14:$E$14,Kustannukset!$C$15:$E$70)),"")</f>
        <v/>
      </c>
      <c r="V116" s="133" t="str" cm="1">
        <f t="array" ref="V116">_xlfn.IFS(H116="kg",Aputaulukko!$F$11,H116="m3",Aputaulukko!$F$12,H116="Materiaalin yksikkö","")</f>
        <v/>
      </c>
      <c r="X116" s="285" t="s">
        <v>328</v>
      </c>
      <c r="Y116" s="1" t="s">
        <v>65</v>
      </c>
      <c r="Z116" s="285"/>
      <c r="AA116" s="1" t="s">
        <v>326</v>
      </c>
      <c r="AB116" s="170" t="str">
        <f>IF(Z116&lt;&gt;"",SUMIFS(Kustannukset!$C$78:$C$92,Kustannukset!$B$78:$B$92,Laskentasivu!J116,Kustannukset!$E$78:$E$92,Laskentasivu!X116,Kustannukset!$G$78:$G$92,Laskentasivu!Z116),"")</f>
        <v/>
      </c>
      <c r="AC116" s="1" t="s">
        <v>27</v>
      </c>
      <c r="AE116" s="137">
        <f t="shared" si="3"/>
        <v>0</v>
      </c>
      <c r="AF116" s="137" cm="1">
        <f t="array" ref="AF116">_xlfn.IFS(V116="e/kg",IF(H116="kg",U116*G116),V116="e/m3",IF(H116="m3",U116*G116),V116="",0)</f>
        <v>0</v>
      </c>
      <c r="AG116" s="138" cm="1">
        <f t="array" ref="AG116">_xlfn.IFS(AND(AB116&lt;&gt;"",H116="kg"),K116*AB116*((G116/1000)/VLOOKUP(J116,Kustannukset!$B$79:$K$92,9,FALSE)),AND(AB116&lt;&gt;"",H116="m3"),K116*AB116*((G116*VLOOKUP(F116,Päästökertoimet!$C$5:$I$59,4,FALSE)/1000)/VLOOKUP(J116,Kustannukset!$B$79:$K$92,9,FALSE)),AB116="",0)</f>
        <v>0</v>
      </c>
    </row>
    <row r="117" spans="6:33" ht="14" thickBot="1" x14ac:dyDescent="0.3">
      <c r="F117" s="152" t="s">
        <v>31</v>
      </c>
      <c r="G117" s="153"/>
      <c r="H117" s="154" t="s">
        <v>32</v>
      </c>
      <c r="I117" s="99"/>
      <c r="J117" s="156" t="s">
        <v>33</v>
      </c>
      <c r="K117" s="278"/>
      <c r="L117" s="1" t="s">
        <v>65</v>
      </c>
      <c r="M117" s="137" t="str" cm="1">
        <f t="array" ref="M117">_xlfn.IFS(F117&lt;&gt;"Valitse neitseellinen materiaali",N117+O117,F117="Valitse neitseellinen materiaali","")</f>
        <v/>
      </c>
      <c r="N117" s="137" t="str" cm="1">
        <f t="array" ref="N117">_xlfn.IFS(H117="kg",VLOOKUP(F117,Päästökertoimet!$C$35:$I$59,2,FALSE)*G117,H117="m3",VLOOKUP(F117,Päästökertoimet!$C$35:$I$59,6,FALSE)*G117,F117="Valitse neitseellinen materiaali","")</f>
        <v/>
      </c>
      <c r="O117" s="138" t="str" cm="1">
        <f t="array" ref="O117">_xlfn.IFS(H117="kg",VLOOKUP(Laskentasivu!J117,Päästökertoimet!$M$5:$O$29,2,FALSE)*K117*(G117/1000),H117="m3",VLOOKUP(Laskentasivu!J117,Päästökertoimet!$M$5:$O$29,2,FALSE)*K117*G117*VLOOKUP(F117,Päästökertoimet!$C$35:$I$59,4,FALSE)/1000,F117="Valitse neitseellinen materiaali","")</f>
        <v/>
      </c>
      <c r="T117" s="269" t="str">
        <f t="shared" si="2"/>
        <v>Valitse neitseellinen materiaali</v>
      </c>
      <c r="U117" s="140" t="str" cm="1">
        <f t="array" ref="U117">IF(V117&lt;&gt;"",_xlfn.XLOOKUP(T117,Kustannukset!$B$15:$B$70,_xlfn.XLOOKUP(Laskentasivu!V117,Kustannukset!$C$14:$E$14,Kustannukset!$C$15:$E$70)),"")</f>
        <v/>
      </c>
      <c r="V117" s="133" t="str" cm="1">
        <f t="array" ref="V117">_xlfn.IFS(H117="kg",Aputaulukko!$F$11,H117="m3",Aputaulukko!$F$12,H117="Materiaalin yksikkö","")</f>
        <v/>
      </c>
      <c r="X117" s="285" t="s">
        <v>328</v>
      </c>
      <c r="Y117" s="1" t="s">
        <v>65</v>
      </c>
      <c r="Z117" s="285"/>
      <c r="AA117" s="1" t="s">
        <v>326</v>
      </c>
      <c r="AB117" s="170" t="str">
        <f>IF(Z117&lt;&gt;"",SUMIFS(Kustannukset!$C$78:$C$92,Kustannukset!$B$78:$B$92,Laskentasivu!J117,Kustannukset!$E$78:$E$92,Laskentasivu!X117,Kustannukset!$G$78:$G$92,Laskentasivu!Z117),"")</f>
        <v/>
      </c>
      <c r="AC117" s="1" t="s">
        <v>27</v>
      </c>
      <c r="AE117" s="137">
        <f t="shared" si="3"/>
        <v>0</v>
      </c>
      <c r="AF117" s="137" cm="1">
        <f t="array" ref="AF117">_xlfn.IFS(V117="e/kg",IF(H117="kg",U117*G117),V117="e/m3",IF(H117="m3",U117*G117),V117="",0)</f>
        <v>0</v>
      </c>
      <c r="AG117" s="138" cm="1">
        <f t="array" ref="AG117">_xlfn.IFS(AND(AB117&lt;&gt;"",H117="kg"),K117*AB117*((G117/1000)/VLOOKUP(J117,Kustannukset!$B$79:$K$92,9,FALSE)),AND(AB117&lt;&gt;"",H117="m3"),K117*AB117*((G117*VLOOKUP(F117,Päästökertoimet!$C$5:$I$59,4,FALSE)/1000)/VLOOKUP(J117,Kustannukset!$B$79:$K$92,9,FALSE)),AB117="",0)</f>
        <v>0</v>
      </c>
    </row>
    <row r="118" spans="6:33" ht="14" thickBot="1" x14ac:dyDescent="0.3">
      <c r="F118" s="6" t="s">
        <v>34</v>
      </c>
      <c r="I118" s="4"/>
      <c r="L118"/>
      <c r="M118" s="137"/>
      <c r="N118" s="137"/>
      <c r="O118" s="138"/>
      <c r="T118" s="28"/>
      <c r="U118" s="141"/>
      <c r="AE118" s="137"/>
      <c r="AF118" s="137"/>
      <c r="AG118" s="138"/>
    </row>
    <row r="119" spans="6:33" ht="14" thickBot="1" x14ac:dyDescent="0.3">
      <c r="F119" s="157" t="s">
        <v>37</v>
      </c>
      <c r="G119" s="158"/>
      <c r="H119" s="159" t="s">
        <v>32</v>
      </c>
      <c r="I119" s="100"/>
      <c r="J119" s="161" t="s">
        <v>33</v>
      </c>
      <c r="K119" s="279"/>
      <c r="L119" s="1" t="s">
        <v>65</v>
      </c>
      <c r="M119" s="137" t="str" cm="1">
        <f t="array" ref="M119">_xlfn.IFS(F119&lt;&gt;"Valitse uusiomateriaali",N119+O119,F119="Valitse uusiomateriaali","")</f>
        <v/>
      </c>
      <c r="N119" s="137" t="str" cm="1">
        <f t="array" ref="N119">_xlfn.IFS(H119="kg",VLOOKUP(F119,Päästökertoimet!$C$5:$I$34,2,FALSE)*G119,H119="m3",VLOOKUP(F119,Päästökertoimet!$C$5:$I$34,6,FALSE)*G119,F119="Valitse uusiomateriaali","")</f>
        <v/>
      </c>
      <c r="O119" s="138" t="str" cm="1">
        <f t="array" ref="O119">_xlfn.IFS(H119="kg",VLOOKUP(Laskentasivu!J119,Päästökertoimet!$M$5:$O$29,2,FALSE)*K119*(G119/1000),H119="m3",VLOOKUP(Laskentasivu!J119,Päästökertoimet!$M$5:$O$29,2,FALSE)*K119*G119*VLOOKUP(F119,Päästökertoimet!$C$5:$I$34,4,FALSE)/1000,F119="Valitse uusiomateriaali","")</f>
        <v/>
      </c>
      <c r="T119" s="28" t="str">
        <f t="shared" ref="T119:T134" si="4">F119</f>
        <v>Valitse uusiomateriaali</v>
      </c>
      <c r="U119" s="140" t="str" cm="1">
        <f t="array" ref="U119">IF(V119&lt;&gt;"",_xlfn.XLOOKUP(T119,Kustannukset!$B$15:$B$70,_xlfn.XLOOKUP(Laskentasivu!V119,Kustannukset!$C$14:$E$14,Kustannukset!$C$15:$E$70)),"")</f>
        <v/>
      </c>
      <c r="V119" s="133" t="str" cm="1">
        <f t="array" ref="V119">_xlfn.IFS(H119="kg",Aputaulukko!$F$11,H119="m3",Aputaulukko!$F$12,H119="Materiaalin yksikkö","")</f>
        <v/>
      </c>
      <c r="X119" s="285"/>
      <c r="Y119" s="1" t="s">
        <v>65</v>
      </c>
      <c r="Z119" s="285"/>
      <c r="AA119" s="1" t="s">
        <v>326</v>
      </c>
      <c r="AB119" s="170" t="str">
        <f>IF(Z119&lt;&gt;"",SUMIFS(Kustannukset!$C$78:$C$92,Kustannukset!$B$78:$B$92,Laskentasivu!J119,Kustannukset!$E$78:$E$92,Laskentasivu!X119,Kustannukset!$G$78:$G$92,Laskentasivu!Z119),"")</f>
        <v/>
      </c>
      <c r="AC119" s="1" t="s">
        <v>27</v>
      </c>
      <c r="AE119" s="137">
        <f t="shared" ref="AE119:AE134" si="5">AF119+AG119</f>
        <v>0</v>
      </c>
      <c r="AF119" s="137" cm="1">
        <f t="array" ref="AF119">_xlfn.IFS(V119="e/kg",IF(H119="kg",U119*G119),V119="e/m3",IF(H119="m3",U119*G119),V119="",0)</f>
        <v>0</v>
      </c>
      <c r="AG119" s="138" cm="1">
        <f t="array" ref="AG119">_xlfn.IFS(AND(AB119&lt;&gt;"",H119="kg"),K119*AB119*((G119/1000)/VLOOKUP(J119,Kustannukset!$B$79:$K$92,9,FALSE)),AND(AB119&lt;&gt;"",H119="m3"),K119*AB119*((G119*VLOOKUP(F119,Päästökertoimet!$C$5:$I$59,4,FALSE)/1000)/VLOOKUP(J119,Kustannukset!$B$79:$K$92,9,FALSE)),AB119="",0)</f>
        <v>0</v>
      </c>
    </row>
    <row r="120" spans="6:33" ht="14" thickBot="1" x14ac:dyDescent="0.3">
      <c r="F120" s="157" t="s">
        <v>37</v>
      </c>
      <c r="G120" s="158"/>
      <c r="H120" s="159" t="s">
        <v>32</v>
      </c>
      <c r="I120" s="99"/>
      <c r="J120" s="161" t="s">
        <v>33</v>
      </c>
      <c r="K120" s="279"/>
      <c r="L120" s="1" t="s">
        <v>65</v>
      </c>
      <c r="M120" s="137" t="str" cm="1">
        <f t="array" ref="M120">_xlfn.IFS(F120&lt;&gt;"Valitse uusiomateriaali",N120+O120,F120="Valitse uusiomateriaali","")</f>
        <v/>
      </c>
      <c r="N120" s="137" t="str" cm="1">
        <f t="array" ref="N120">_xlfn.IFS(H120="kg",VLOOKUP(F120,Päästökertoimet!$C$5:$I$34,2,FALSE)*G120,H120="m3",VLOOKUP(F120,Päästökertoimet!$C$5:$I$34,6,FALSE)*G120,F120="Valitse uusiomateriaali","")</f>
        <v/>
      </c>
      <c r="O120" s="138" t="str" cm="1">
        <f t="array" ref="O120">_xlfn.IFS(H120="kg",VLOOKUP(Laskentasivu!J120,Päästökertoimet!$M$5:$O$29,2,FALSE)*K120*(G120/1000),H120="m3",VLOOKUP(Laskentasivu!J120,Päästökertoimet!$M$5:$O$29,2,FALSE)*K120*G120*VLOOKUP(F120,Päästökertoimet!$C$5:$I$34,4,FALSE)/1000,F120="Valitse uusiomateriaali","")</f>
        <v/>
      </c>
      <c r="T120" s="28" t="str">
        <f t="shared" si="4"/>
        <v>Valitse uusiomateriaali</v>
      </c>
      <c r="U120" s="140" t="str" cm="1">
        <f t="array" ref="U120">IF(V120&lt;&gt;"",_xlfn.XLOOKUP(T120,Kustannukset!$B$15:$B$70,_xlfn.XLOOKUP(Laskentasivu!V120,Kustannukset!$C$14:$E$14,Kustannukset!$C$15:$E$70)),"")</f>
        <v/>
      </c>
      <c r="V120" s="133" t="str" cm="1">
        <f t="array" ref="V120">_xlfn.IFS(H120="kg",Aputaulukko!$F$11,H120="m3",Aputaulukko!$F$12,H120="Materiaalin yksikkö","")</f>
        <v/>
      </c>
      <c r="X120" s="285"/>
      <c r="Y120" s="1" t="s">
        <v>65</v>
      </c>
      <c r="Z120" s="285"/>
      <c r="AA120" s="1" t="s">
        <v>326</v>
      </c>
      <c r="AB120" s="170" t="str">
        <f>IF(Z120&lt;&gt;"",SUMIFS(Kustannukset!$C$78:$C$92,Kustannukset!$B$78:$B$92,Laskentasivu!J120,Kustannukset!$E$78:$E$92,Laskentasivu!X120,Kustannukset!$G$78:$G$92,Laskentasivu!Z120),"")</f>
        <v/>
      </c>
      <c r="AC120" s="1" t="s">
        <v>27</v>
      </c>
      <c r="AE120" s="137">
        <f t="shared" si="5"/>
        <v>0</v>
      </c>
      <c r="AF120" s="137" cm="1">
        <f t="array" ref="AF120">_xlfn.IFS(V120="e/kg",IF(H120="kg",U120*G120),V120="e/m3",IF(H120="m3",U120*G120),V120="",0)</f>
        <v>0</v>
      </c>
      <c r="AG120" s="138" cm="1">
        <f t="array" ref="AG120">_xlfn.IFS(AND(AB120&lt;&gt;"",H120="kg"),K120*AB120*((G120/1000)/VLOOKUP(J120,Kustannukset!$B$79:$K$92,9,FALSE)),AND(AB120&lt;&gt;"",H120="m3"),K120*AB120*((G120*VLOOKUP(F120,Päästökertoimet!$C$5:$I$59,4,FALSE)/1000)/VLOOKUP(J120,Kustannukset!$B$79:$K$92,9,FALSE)),AB120="",0)</f>
        <v>0</v>
      </c>
    </row>
    <row r="121" spans="6:33" ht="14" thickBot="1" x14ac:dyDescent="0.3">
      <c r="F121" s="157" t="s">
        <v>37</v>
      </c>
      <c r="G121" s="158"/>
      <c r="H121" s="159" t="s">
        <v>32</v>
      </c>
      <c r="I121" s="99"/>
      <c r="J121" s="161" t="s">
        <v>33</v>
      </c>
      <c r="K121" s="279"/>
      <c r="L121" s="1" t="s">
        <v>65</v>
      </c>
      <c r="M121" s="137" t="str" cm="1">
        <f t="array" ref="M121">_xlfn.IFS(F121&lt;&gt;"Valitse uusiomateriaali",N121+O121,F121="Valitse uusiomateriaali","")</f>
        <v/>
      </c>
      <c r="N121" s="137" t="str" cm="1">
        <f t="array" ref="N121">_xlfn.IFS(H121="kg",VLOOKUP(F121,Päästökertoimet!$C$5:$I$34,2,FALSE)*G121,H121="m3",VLOOKUP(F121,Päästökertoimet!$C$5:$I$34,6,FALSE)*G121,F121="Valitse uusiomateriaali","")</f>
        <v/>
      </c>
      <c r="O121" s="138" t="str" cm="1">
        <f t="array" ref="O121">_xlfn.IFS(H121="kg",VLOOKUP(Laskentasivu!J121,Päästökertoimet!$M$5:$O$29,2,FALSE)*K121*(G121/1000),H121="m3",VLOOKUP(Laskentasivu!J121,Päästökertoimet!$M$5:$O$29,2,FALSE)*K121*G121*VLOOKUP(F121,Päästökertoimet!$C$5:$I$34,4,FALSE)/1000,F121="Valitse uusiomateriaali","")</f>
        <v/>
      </c>
      <c r="T121" s="28" t="str">
        <f t="shared" si="4"/>
        <v>Valitse uusiomateriaali</v>
      </c>
      <c r="U121" s="140" t="str" cm="1">
        <f t="array" ref="U121">IF(V121&lt;&gt;"",_xlfn.XLOOKUP(T121,Kustannukset!$B$15:$B$70,_xlfn.XLOOKUP(Laskentasivu!V121,Kustannukset!$C$14:$E$14,Kustannukset!$C$15:$E$70)),"")</f>
        <v/>
      </c>
      <c r="V121" s="133" t="str" cm="1">
        <f t="array" ref="V121">_xlfn.IFS(H121="kg",Aputaulukko!$F$11,H121="m3",Aputaulukko!$F$12,H121="Materiaalin yksikkö","")</f>
        <v/>
      </c>
      <c r="X121" s="285"/>
      <c r="Y121" s="1" t="s">
        <v>65</v>
      </c>
      <c r="Z121" s="285"/>
      <c r="AA121" s="1" t="s">
        <v>326</v>
      </c>
      <c r="AB121" s="170" t="str">
        <f>IF(Z121&lt;&gt;"",SUMIFS(Kustannukset!$C$78:$C$92,Kustannukset!$B$78:$B$92,Laskentasivu!J121,Kustannukset!$E$78:$E$92,Laskentasivu!X121,Kustannukset!$G$78:$G$92,Laskentasivu!Z121),"")</f>
        <v/>
      </c>
      <c r="AC121" s="1" t="s">
        <v>27</v>
      </c>
      <c r="AE121" s="137">
        <f t="shared" si="5"/>
        <v>0</v>
      </c>
      <c r="AF121" s="137" cm="1">
        <f t="array" ref="AF121">_xlfn.IFS(V121="e/kg",IF(H121="kg",U121*G121),V121="e/m3",IF(H121="m3",U121*G121),V121="",0)</f>
        <v>0</v>
      </c>
      <c r="AG121" s="138" cm="1">
        <f t="array" ref="AG121">_xlfn.IFS(AND(AB121&lt;&gt;"",H121="kg"),K121*AB121*((G121/1000)/VLOOKUP(J121,Kustannukset!$B$79:$K$92,9,FALSE)),AND(AB121&lt;&gt;"",H121="m3"),K121*AB121*((G121*VLOOKUP(F121,Päästökertoimet!$C$5:$I$59,4,FALSE)/1000)/VLOOKUP(J121,Kustannukset!$B$79:$K$92,9,FALSE)),AB121="",0)</f>
        <v>0</v>
      </c>
    </row>
    <row r="122" spans="6:33" ht="14" thickBot="1" x14ac:dyDescent="0.3">
      <c r="F122" s="157" t="s">
        <v>37</v>
      </c>
      <c r="G122" s="158"/>
      <c r="H122" s="159" t="s">
        <v>32</v>
      </c>
      <c r="I122" s="99"/>
      <c r="J122" s="161" t="s">
        <v>33</v>
      </c>
      <c r="K122" s="279"/>
      <c r="L122" s="1" t="s">
        <v>65</v>
      </c>
      <c r="M122" s="137" t="str" cm="1">
        <f t="array" ref="M122">_xlfn.IFS(F122&lt;&gt;"Valitse uusiomateriaali",N122+O122,F122="Valitse uusiomateriaali","")</f>
        <v/>
      </c>
      <c r="N122" s="137" t="str" cm="1">
        <f t="array" ref="N122">_xlfn.IFS(H122="kg",VLOOKUP(F122,Päästökertoimet!$C$5:$I$34,2,FALSE)*G122,H122="m3",VLOOKUP(F122,Päästökertoimet!$C$5:$I$34,6,FALSE)*G122,F122="Valitse uusiomateriaali","")</f>
        <v/>
      </c>
      <c r="O122" s="138" t="str" cm="1">
        <f t="array" ref="O122">_xlfn.IFS(H122="kg",VLOOKUP(Laskentasivu!J122,Päästökertoimet!$M$5:$O$29,2,FALSE)*K122*(G122/1000),H122="m3",VLOOKUP(Laskentasivu!J122,Päästökertoimet!$M$5:$O$29,2,FALSE)*K122*G122*VLOOKUP(F122,Päästökertoimet!$C$5:$I$34,4,FALSE)/1000,F122="Valitse uusiomateriaali","")</f>
        <v/>
      </c>
      <c r="T122" s="28" t="str">
        <f t="shared" si="4"/>
        <v>Valitse uusiomateriaali</v>
      </c>
      <c r="U122" s="140" t="str" cm="1">
        <f t="array" ref="U122">IF(V122&lt;&gt;"",_xlfn.XLOOKUP(T122,Kustannukset!$B$15:$B$70,_xlfn.XLOOKUP(Laskentasivu!V122,Kustannukset!$C$14:$E$14,Kustannukset!$C$15:$E$70)),"")</f>
        <v/>
      </c>
      <c r="V122" s="133" t="str" cm="1">
        <f t="array" ref="V122">_xlfn.IFS(H122="kg",Aputaulukko!$F$11,H122="m3",Aputaulukko!$F$12,H122="Materiaalin yksikkö","")</f>
        <v/>
      </c>
      <c r="X122" s="285"/>
      <c r="Y122" s="1" t="s">
        <v>65</v>
      </c>
      <c r="Z122" s="285"/>
      <c r="AA122" s="1" t="s">
        <v>326</v>
      </c>
      <c r="AB122" s="170" t="str">
        <f>IF(Z122&lt;&gt;"",SUMIFS(Kustannukset!$C$78:$C$92,Kustannukset!$B$78:$B$92,Laskentasivu!J122,Kustannukset!$E$78:$E$92,Laskentasivu!X122,Kustannukset!$G$78:$G$92,Laskentasivu!Z122),"")</f>
        <v/>
      </c>
      <c r="AC122" s="1" t="s">
        <v>27</v>
      </c>
      <c r="AE122" s="137">
        <f t="shared" si="5"/>
        <v>0</v>
      </c>
      <c r="AF122" s="137" cm="1">
        <f t="array" ref="AF122">_xlfn.IFS(V122="e/kg",IF(H122="kg",U122*G122),V122="e/m3",IF(H122="m3",U122*G122),V122="",0)</f>
        <v>0</v>
      </c>
      <c r="AG122" s="138" cm="1">
        <f t="array" ref="AG122">_xlfn.IFS(AND(AB122&lt;&gt;"",H122="kg"),K122*AB122*((G122/1000)/VLOOKUP(J122,Kustannukset!$B$79:$K$92,9,FALSE)),AND(AB122&lt;&gt;"",H122="m3"),K122*AB122*((G122*VLOOKUP(F122,Päästökertoimet!$C$5:$I$59,4,FALSE)/1000)/VLOOKUP(J122,Kustannukset!$B$79:$K$92,9,FALSE)),AB122="",0)</f>
        <v>0</v>
      </c>
    </row>
    <row r="123" spans="6:33" ht="14" thickBot="1" x14ac:dyDescent="0.3">
      <c r="F123" s="157" t="s">
        <v>37</v>
      </c>
      <c r="G123" s="158"/>
      <c r="H123" s="159" t="s">
        <v>32</v>
      </c>
      <c r="I123" s="99"/>
      <c r="J123" s="161" t="s">
        <v>33</v>
      </c>
      <c r="K123" s="280"/>
      <c r="L123" s="1" t="s">
        <v>65</v>
      </c>
      <c r="M123" s="137" t="str" cm="1">
        <f t="array" ref="M123">_xlfn.IFS(F123&lt;&gt;"Valitse uusiomateriaali",N123+O123,F123="Valitse uusiomateriaali","")</f>
        <v/>
      </c>
      <c r="N123" s="137" t="str" cm="1">
        <f t="array" ref="N123">_xlfn.IFS(H123="kg",VLOOKUP(F123,Päästökertoimet!$C$5:$I$34,2,FALSE)*G123,H123="m3",VLOOKUP(F123,Päästökertoimet!$C$5:$I$34,6,FALSE)*G123,F123="Valitse uusiomateriaali","")</f>
        <v/>
      </c>
      <c r="O123" s="138" t="str" cm="1">
        <f t="array" ref="O123">_xlfn.IFS(H123="kg",VLOOKUP(Laskentasivu!J123,Päästökertoimet!$M$5:$O$29,2,FALSE)*K123*(G123/1000),H123="m3",VLOOKUP(Laskentasivu!J123,Päästökertoimet!$M$5:$O$29,2,FALSE)*K123*G123*VLOOKUP(F123,Päästökertoimet!$C$5:$I$34,4,FALSE)/1000,F123="Valitse uusiomateriaali","")</f>
        <v/>
      </c>
      <c r="T123" s="28" t="str">
        <f t="shared" si="4"/>
        <v>Valitse uusiomateriaali</v>
      </c>
      <c r="U123" s="140" t="str" cm="1">
        <f t="array" ref="U123">IF(V123&lt;&gt;"",_xlfn.XLOOKUP(T123,Kustannukset!$B$15:$B$70,_xlfn.XLOOKUP(Laskentasivu!V123,Kustannukset!$C$14:$E$14,Kustannukset!$C$15:$E$70)),"")</f>
        <v/>
      </c>
      <c r="V123" s="133" t="str" cm="1">
        <f t="array" ref="V123">_xlfn.IFS(H123="kg",Aputaulukko!$F$11,H123="m3",Aputaulukko!$F$12,H123="Materiaalin yksikkö","")</f>
        <v/>
      </c>
      <c r="X123" s="285"/>
      <c r="Y123" s="1" t="s">
        <v>65</v>
      </c>
      <c r="Z123" s="285"/>
      <c r="AA123" s="1" t="s">
        <v>326</v>
      </c>
      <c r="AB123" s="170" t="str">
        <f>IF(Z123&lt;&gt;"",SUMIFS(Kustannukset!$C$78:$C$92,Kustannukset!$B$78:$B$92,Laskentasivu!J123,Kustannukset!$E$78:$E$92,Laskentasivu!X123,Kustannukset!$G$78:$G$92,Laskentasivu!Z123),"")</f>
        <v/>
      </c>
      <c r="AC123" s="1" t="s">
        <v>27</v>
      </c>
      <c r="AE123" s="137">
        <f t="shared" si="5"/>
        <v>0</v>
      </c>
      <c r="AF123" s="137" cm="1">
        <f t="array" ref="AF123">_xlfn.IFS(V123="e/kg",IF(H123="kg",U123*G123),V123="e/m3",IF(H123="m3",U123*G123),V123="",0)</f>
        <v>0</v>
      </c>
      <c r="AG123" s="138" cm="1">
        <f t="array" ref="AG123">_xlfn.IFS(AND(AB123&lt;&gt;"",H123="kg"),K123*AB123*((G123/1000)/VLOOKUP(J123,Kustannukset!$B$79:$K$92,9,FALSE)),AND(AB123&lt;&gt;"",H123="m3"),K123*AB123*((G123*VLOOKUP(F123,Päästökertoimet!$C$5:$I$59,4,FALSE)/1000)/VLOOKUP(J123,Kustannukset!$B$79:$K$92,9,FALSE)),AB123="",0)</f>
        <v>0</v>
      </c>
    </row>
    <row r="124" spans="6:33" ht="14" thickBot="1" x14ac:dyDescent="0.3">
      <c r="F124" s="157" t="s">
        <v>37</v>
      </c>
      <c r="G124" s="158"/>
      <c r="H124" s="159" t="s">
        <v>32</v>
      </c>
      <c r="I124" s="99"/>
      <c r="J124" s="161" t="s">
        <v>33</v>
      </c>
      <c r="K124" s="280"/>
      <c r="L124" s="1" t="s">
        <v>65</v>
      </c>
      <c r="M124" s="137" t="str" cm="1">
        <f t="array" ref="M124">_xlfn.IFS(F124&lt;&gt;"Valitse uusiomateriaali",N124+O124,F124="Valitse uusiomateriaali","")</f>
        <v/>
      </c>
      <c r="N124" s="137" t="str" cm="1">
        <f t="array" ref="N124">_xlfn.IFS(H124="kg",VLOOKUP(F124,Päästökertoimet!$C$5:$I$34,2,FALSE)*G124,H124="m3",VLOOKUP(F124,Päästökertoimet!$C$5:$I$34,6,FALSE)*G124,F124="Valitse uusiomateriaali","")</f>
        <v/>
      </c>
      <c r="O124" s="138" t="str" cm="1">
        <f t="array" ref="O124">_xlfn.IFS(H124="kg",VLOOKUP(Laskentasivu!J124,Päästökertoimet!$M$5:$O$29,2,FALSE)*K124*(G124/1000),H124="m3",VLOOKUP(Laskentasivu!J124,Päästökertoimet!$M$5:$O$29,2,FALSE)*K124*G124*VLOOKUP(F124,Päästökertoimet!$C$5:$I$34,4,FALSE)/1000,F124="Valitse uusiomateriaali","")</f>
        <v/>
      </c>
      <c r="T124" s="28" t="str">
        <f t="shared" si="4"/>
        <v>Valitse uusiomateriaali</v>
      </c>
      <c r="U124" s="140" t="str" cm="1">
        <f t="array" ref="U124">IF(V124&lt;&gt;"",_xlfn.XLOOKUP(T124,Kustannukset!$B$15:$B$70,_xlfn.XLOOKUP(Laskentasivu!V124,Kustannukset!$C$14:$E$14,Kustannukset!$C$15:$E$70)),"")</f>
        <v/>
      </c>
      <c r="V124" s="133" t="str" cm="1">
        <f t="array" ref="V124">_xlfn.IFS(H124="kg",Aputaulukko!$F$11,H124="m3",Aputaulukko!$F$12,H124="Materiaalin yksikkö","")</f>
        <v/>
      </c>
      <c r="X124" s="285"/>
      <c r="Y124" s="1" t="s">
        <v>65</v>
      </c>
      <c r="Z124" s="285"/>
      <c r="AA124" s="1" t="s">
        <v>326</v>
      </c>
      <c r="AB124" s="170" t="str">
        <f>IF(Z124&lt;&gt;"",SUMIFS(Kustannukset!$C$78:$C$92,Kustannukset!$B$78:$B$92,Laskentasivu!J124,Kustannukset!$E$78:$E$92,Laskentasivu!X124,Kustannukset!$G$78:$G$92,Laskentasivu!Z124),"")</f>
        <v/>
      </c>
      <c r="AC124" s="1" t="s">
        <v>27</v>
      </c>
      <c r="AE124" s="137">
        <f t="shared" si="5"/>
        <v>0</v>
      </c>
      <c r="AF124" s="137" cm="1">
        <f t="array" ref="AF124">_xlfn.IFS(V124="e/kg",IF(H124="kg",U124*G124),V124="e/m3",IF(H124="m3",U124*G124),V124="",0)</f>
        <v>0</v>
      </c>
      <c r="AG124" s="138" cm="1">
        <f t="array" ref="AG124">_xlfn.IFS(AND(AB124&lt;&gt;"",H124="kg"),K124*AB124*((G124/1000)/VLOOKUP(J124,Kustannukset!$B$79:$K$92,9,FALSE)),AND(AB124&lt;&gt;"",H124="m3"),K124*AB124*((G124*VLOOKUP(F124,Päästökertoimet!$C$5:$I$59,4,FALSE)/1000)/VLOOKUP(J124,Kustannukset!$B$79:$K$92,9,FALSE)),AB124="",0)</f>
        <v>0</v>
      </c>
    </row>
    <row r="125" spans="6:33" ht="14" thickBot="1" x14ac:dyDescent="0.3">
      <c r="F125" s="157" t="s">
        <v>37</v>
      </c>
      <c r="G125" s="158"/>
      <c r="H125" s="159" t="s">
        <v>32</v>
      </c>
      <c r="I125" s="99"/>
      <c r="J125" s="161" t="s">
        <v>33</v>
      </c>
      <c r="K125" s="280"/>
      <c r="L125" s="1" t="s">
        <v>65</v>
      </c>
      <c r="M125" s="137" t="str" cm="1">
        <f t="array" ref="M125">_xlfn.IFS(F125&lt;&gt;"Valitse uusiomateriaali",N125+O125,F125="Valitse uusiomateriaali","")</f>
        <v/>
      </c>
      <c r="N125" s="137" t="str" cm="1">
        <f t="array" ref="N125">_xlfn.IFS(H125="kg",VLOOKUP(F125,Päästökertoimet!$C$5:$I$34,2,FALSE)*G125,H125="m3",VLOOKUP(F125,Päästökertoimet!$C$5:$I$34,6,FALSE)*G125,F125="Valitse uusiomateriaali","")</f>
        <v/>
      </c>
      <c r="O125" s="138" t="str" cm="1">
        <f t="array" ref="O125">_xlfn.IFS(H125="kg",VLOOKUP(Laskentasivu!J125,Päästökertoimet!$M$5:$O$29,2,FALSE)*K125*(G125/1000),H125="m3",VLOOKUP(Laskentasivu!J125,Päästökertoimet!$M$5:$O$29,2,FALSE)*K125*G125*VLOOKUP(F125,Päästökertoimet!$C$5:$I$34,4,FALSE)/1000,F125="Valitse uusiomateriaali","")</f>
        <v/>
      </c>
      <c r="T125" s="28" t="str">
        <f t="shared" si="4"/>
        <v>Valitse uusiomateriaali</v>
      </c>
      <c r="U125" s="140" t="str" cm="1">
        <f t="array" ref="U125">IF(V125&lt;&gt;"",_xlfn.XLOOKUP(T125,Kustannukset!$B$15:$B$70,_xlfn.XLOOKUP(Laskentasivu!V125,Kustannukset!$C$14:$E$14,Kustannukset!$C$15:$E$70)),"")</f>
        <v/>
      </c>
      <c r="V125" s="133" t="str" cm="1">
        <f t="array" ref="V125">_xlfn.IFS(H125="kg",Aputaulukko!$F$11,H125="m3",Aputaulukko!$F$12,H125="Materiaalin yksikkö","")</f>
        <v/>
      </c>
      <c r="X125" s="285"/>
      <c r="Y125" s="1" t="s">
        <v>65</v>
      </c>
      <c r="Z125" s="285"/>
      <c r="AA125" s="1" t="s">
        <v>326</v>
      </c>
      <c r="AB125" s="170" t="str">
        <f>IF(Z125&lt;&gt;"",SUMIFS(Kustannukset!$C$78:$C$92,Kustannukset!$B$78:$B$92,Laskentasivu!J125,Kustannukset!$E$78:$E$92,Laskentasivu!X125,Kustannukset!$G$78:$G$92,Laskentasivu!Z125),"")</f>
        <v/>
      </c>
      <c r="AC125" s="1" t="s">
        <v>27</v>
      </c>
      <c r="AE125" s="137">
        <f t="shared" si="5"/>
        <v>0</v>
      </c>
      <c r="AF125" s="137" cm="1">
        <f t="array" ref="AF125">_xlfn.IFS(V125="e/kg",IF(H125="kg",U125*G125),V125="e/m3",IF(H125="m3",U125*G125),V125="",0)</f>
        <v>0</v>
      </c>
      <c r="AG125" s="138" cm="1">
        <f t="array" ref="AG125">_xlfn.IFS(AND(AB125&lt;&gt;"",H125="kg"),K125*AB125*((G125/1000)/VLOOKUP(J125,Kustannukset!$B$79:$K$92,9,FALSE)),AND(AB125&lt;&gt;"",H125="m3"),K125*AB125*((G125*VLOOKUP(F125,Päästökertoimet!$C$5:$I$59,4,FALSE)/1000)/VLOOKUP(J125,Kustannukset!$B$79:$K$92,9,FALSE)),AB125="",0)</f>
        <v>0</v>
      </c>
    </row>
    <row r="126" spans="6:33" ht="14" thickBot="1" x14ac:dyDescent="0.3">
      <c r="F126" s="157" t="s">
        <v>37</v>
      </c>
      <c r="G126" s="158"/>
      <c r="H126" s="159" t="s">
        <v>32</v>
      </c>
      <c r="I126" s="99"/>
      <c r="J126" s="161" t="s">
        <v>33</v>
      </c>
      <c r="K126" s="280"/>
      <c r="L126" s="1" t="s">
        <v>65</v>
      </c>
      <c r="M126" s="137" t="str" cm="1">
        <f t="array" ref="M126">_xlfn.IFS(F126&lt;&gt;"Valitse uusiomateriaali",N126+O126,F126="Valitse uusiomateriaali","")</f>
        <v/>
      </c>
      <c r="N126" s="137" t="str" cm="1">
        <f t="array" ref="N126">_xlfn.IFS(H126="kg",VLOOKUP(F126,Päästökertoimet!$C$5:$I$34,2,FALSE)*G126,H126="m3",VLOOKUP(F126,Päästökertoimet!$C$5:$I$34,6,FALSE)*G126,F126="Valitse uusiomateriaali","")</f>
        <v/>
      </c>
      <c r="O126" s="138" t="str" cm="1">
        <f t="array" ref="O126">_xlfn.IFS(H126="kg",VLOOKUP(Laskentasivu!J126,Päästökertoimet!$M$5:$O$29,2,FALSE)*K126*(G126/1000),H126="m3",VLOOKUP(Laskentasivu!J126,Päästökertoimet!$M$5:$O$29,2,FALSE)*K126*G126*VLOOKUP(F126,Päästökertoimet!$C$5:$I$34,4,FALSE)/1000,F126="Valitse uusiomateriaali","")</f>
        <v/>
      </c>
      <c r="T126" s="28" t="str">
        <f t="shared" si="4"/>
        <v>Valitse uusiomateriaali</v>
      </c>
      <c r="U126" s="140" t="str" cm="1">
        <f t="array" ref="U126">IF(V126&lt;&gt;"",_xlfn.XLOOKUP(T126,Kustannukset!$B$15:$B$70,_xlfn.XLOOKUP(Laskentasivu!V126,Kustannukset!$C$14:$E$14,Kustannukset!$C$15:$E$70)),"")</f>
        <v/>
      </c>
      <c r="V126" s="133" t="str" cm="1">
        <f t="array" ref="V126">_xlfn.IFS(H126="kg",Aputaulukko!$F$11,H126="m3",Aputaulukko!$F$12,H126="Materiaalin yksikkö","")</f>
        <v/>
      </c>
      <c r="X126" s="285"/>
      <c r="Y126" s="1" t="s">
        <v>65</v>
      </c>
      <c r="Z126" s="285"/>
      <c r="AA126" s="1" t="s">
        <v>326</v>
      </c>
      <c r="AB126" s="170" t="str">
        <f>IF(Z126&lt;&gt;"",SUMIFS(Kustannukset!$C$78:$C$92,Kustannukset!$B$78:$B$92,Laskentasivu!J126,Kustannukset!$E$78:$E$92,Laskentasivu!X126,Kustannukset!$G$78:$G$92,Laskentasivu!Z126),"")</f>
        <v/>
      </c>
      <c r="AC126" s="1" t="s">
        <v>27</v>
      </c>
      <c r="AE126" s="137">
        <f t="shared" si="5"/>
        <v>0</v>
      </c>
      <c r="AF126" s="137" cm="1">
        <f t="array" ref="AF126">_xlfn.IFS(V126="e/kg",IF(H126="kg",U126*G126),V126="e/m3",IF(H126="m3",U126*G126),V126="",0)</f>
        <v>0</v>
      </c>
      <c r="AG126" s="138" cm="1">
        <f t="array" ref="AG126">_xlfn.IFS(AND(AB126&lt;&gt;"",H126="kg"),K126*AB126*((G126/1000)/VLOOKUP(J126,Kustannukset!$B$79:$K$92,9,FALSE)),AND(AB126&lt;&gt;"",H126="m3"),K126*AB126*((G126*VLOOKUP(F126,Päästökertoimet!$C$5:$I$59,4,FALSE)/1000)/VLOOKUP(J126,Kustannukset!$B$79:$K$92,9,FALSE)),AB126="",0)</f>
        <v>0</v>
      </c>
    </row>
    <row r="127" spans="6:33" ht="14" thickBot="1" x14ac:dyDescent="0.3">
      <c r="F127" s="157" t="s">
        <v>37</v>
      </c>
      <c r="G127" s="158"/>
      <c r="H127" s="159" t="s">
        <v>32</v>
      </c>
      <c r="I127" s="99"/>
      <c r="J127" s="161" t="s">
        <v>33</v>
      </c>
      <c r="K127" s="280"/>
      <c r="L127" s="1" t="s">
        <v>65</v>
      </c>
      <c r="M127" s="137" t="str" cm="1">
        <f t="array" ref="M127">_xlfn.IFS(F127&lt;&gt;"Valitse uusiomateriaali",N127+O127,F127="Valitse uusiomateriaali","")</f>
        <v/>
      </c>
      <c r="N127" s="137" t="str" cm="1">
        <f t="array" ref="N127">_xlfn.IFS(H127="kg",VLOOKUP(F127,Päästökertoimet!$C$5:$I$34,2,FALSE)*G127,H127="m3",VLOOKUP(F127,Päästökertoimet!$C$5:$I$34,6,FALSE)*G127,F127="Valitse uusiomateriaali","")</f>
        <v/>
      </c>
      <c r="O127" s="138" t="str" cm="1">
        <f t="array" ref="O127">_xlfn.IFS(H127="kg",VLOOKUP(Laskentasivu!J127,Päästökertoimet!$M$5:$O$29,2,FALSE)*K127*(G127/1000),H127="m3",VLOOKUP(Laskentasivu!J127,Päästökertoimet!$M$5:$O$29,2,FALSE)*K127*G127*VLOOKUP(F127,Päästökertoimet!$C$5:$I$34,4,FALSE)/1000,F127="Valitse uusiomateriaali","")</f>
        <v/>
      </c>
      <c r="T127" s="28" t="str">
        <f t="shared" si="4"/>
        <v>Valitse uusiomateriaali</v>
      </c>
      <c r="U127" s="140" t="str" cm="1">
        <f t="array" ref="U127">IF(V127&lt;&gt;"",_xlfn.XLOOKUP(T127,Kustannukset!$B$15:$B$70,_xlfn.XLOOKUP(Laskentasivu!V127,Kustannukset!$C$14:$E$14,Kustannukset!$C$15:$E$70)),"")</f>
        <v/>
      </c>
      <c r="V127" s="133" t="str" cm="1">
        <f t="array" ref="V127">_xlfn.IFS(H127="kg",Aputaulukko!$F$11,H127="m3",Aputaulukko!$F$12,H127="Materiaalin yksikkö","")</f>
        <v/>
      </c>
      <c r="X127" s="285"/>
      <c r="Y127" s="1" t="s">
        <v>65</v>
      </c>
      <c r="Z127" s="285"/>
      <c r="AA127" s="1" t="s">
        <v>326</v>
      </c>
      <c r="AB127" s="170" t="str">
        <f>IF(Z127&lt;&gt;"",SUMIFS(Kustannukset!$C$78:$C$92,Kustannukset!$B$78:$B$92,Laskentasivu!J127,Kustannukset!$E$78:$E$92,Laskentasivu!X127,Kustannukset!$G$78:$G$92,Laskentasivu!Z127),"")</f>
        <v/>
      </c>
      <c r="AC127" s="1" t="s">
        <v>27</v>
      </c>
      <c r="AE127" s="137">
        <f t="shared" si="5"/>
        <v>0</v>
      </c>
      <c r="AF127" s="137" cm="1">
        <f t="array" ref="AF127">_xlfn.IFS(V127="e/kg",IF(H127="kg",U127*G127),V127="e/m3",IF(H127="m3",U127*G127),V127="",0)</f>
        <v>0</v>
      </c>
      <c r="AG127" s="138" cm="1">
        <f t="array" ref="AG127">_xlfn.IFS(AND(AB127&lt;&gt;"",H127="kg"),K127*AB127*((G127/1000)/VLOOKUP(J127,Kustannukset!$B$79:$K$92,9,FALSE)),AND(AB127&lt;&gt;"",H127="m3"),K127*AB127*((G127*VLOOKUP(F127,Päästökertoimet!$C$5:$I$59,4,FALSE)/1000)/VLOOKUP(J127,Kustannukset!$B$79:$K$92,9,FALSE)),AB127="",0)</f>
        <v>0</v>
      </c>
    </row>
    <row r="128" spans="6:33" ht="14" thickBot="1" x14ac:dyDescent="0.3">
      <c r="F128" s="157" t="s">
        <v>37</v>
      </c>
      <c r="G128" s="158"/>
      <c r="H128" s="159" t="s">
        <v>32</v>
      </c>
      <c r="I128" s="99"/>
      <c r="J128" s="161" t="s">
        <v>33</v>
      </c>
      <c r="K128" s="280"/>
      <c r="L128" s="1" t="s">
        <v>65</v>
      </c>
      <c r="M128" s="137" t="str" cm="1">
        <f t="array" ref="M128">_xlfn.IFS(F128&lt;&gt;"Valitse uusiomateriaali",N128+O128,F128="Valitse uusiomateriaali","")</f>
        <v/>
      </c>
      <c r="N128" s="137" t="str" cm="1">
        <f t="array" ref="N128">_xlfn.IFS(H128="kg",VLOOKUP(F128,Päästökertoimet!$C$5:$I$34,2,FALSE)*G128,H128="m3",VLOOKUP(F128,Päästökertoimet!$C$5:$I$34,6,FALSE)*G128,F128="Valitse uusiomateriaali","")</f>
        <v/>
      </c>
      <c r="O128" s="138" t="str" cm="1">
        <f t="array" ref="O128">_xlfn.IFS(H128="kg",VLOOKUP(Laskentasivu!J128,Päästökertoimet!$M$5:$O$29,2,FALSE)*K128*(G128/1000),H128="m3",VLOOKUP(Laskentasivu!J128,Päästökertoimet!$M$5:$O$29,2,FALSE)*K128*G128*VLOOKUP(F128,Päästökertoimet!$C$5:$I$34,4,FALSE)/1000,F128="Valitse uusiomateriaali","")</f>
        <v/>
      </c>
      <c r="T128" s="28" t="str">
        <f t="shared" si="4"/>
        <v>Valitse uusiomateriaali</v>
      </c>
      <c r="U128" s="140" t="str" cm="1">
        <f t="array" ref="U128">IF(V128&lt;&gt;"",_xlfn.XLOOKUP(T128,Kustannukset!$B$15:$B$70,_xlfn.XLOOKUP(Laskentasivu!V128,Kustannukset!$C$14:$E$14,Kustannukset!$C$15:$E$70)),"")</f>
        <v/>
      </c>
      <c r="V128" s="133" t="str" cm="1">
        <f t="array" ref="V128">_xlfn.IFS(H128="kg",Aputaulukko!$F$11,H128="m3",Aputaulukko!$F$12,H128="Materiaalin yksikkö","")</f>
        <v/>
      </c>
      <c r="X128" s="285"/>
      <c r="Y128" s="1" t="s">
        <v>65</v>
      </c>
      <c r="Z128" s="285"/>
      <c r="AA128" s="1" t="s">
        <v>326</v>
      </c>
      <c r="AB128" s="170" t="str">
        <f>IF(Z128&lt;&gt;"",SUMIFS(Kustannukset!$C$78:$C$92,Kustannukset!$B$78:$B$92,Laskentasivu!J128,Kustannukset!$E$78:$E$92,Laskentasivu!X128,Kustannukset!$G$78:$G$92,Laskentasivu!Z128),"")</f>
        <v/>
      </c>
      <c r="AC128" s="1" t="s">
        <v>27</v>
      </c>
      <c r="AE128" s="137">
        <f t="shared" si="5"/>
        <v>0</v>
      </c>
      <c r="AF128" s="137" cm="1">
        <f t="array" ref="AF128">_xlfn.IFS(V128="e/kg",IF(H128="kg",U128*G128),V128="e/m3",IF(H128="m3",U128*G128),V128="",0)</f>
        <v>0</v>
      </c>
      <c r="AG128" s="138" cm="1">
        <f t="array" ref="AG128">_xlfn.IFS(AND(AB128&lt;&gt;"",H128="kg"),K128*AB128*((G128/1000)/VLOOKUP(J128,Kustannukset!$B$79:$K$92,9,FALSE)),AND(AB128&lt;&gt;"",H128="m3"),K128*AB128*((G128*VLOOKUP(F128,Päästökertoimet!$C$5:$I$59,4,FALSE)/1000)/VLOOKUP(J128,Kustannukset!$B$79:$K$92,9,FALSE)),AB128="",0)</f>
        <v>0</v>
      </c>
    </row>
    <row r="129" spans="6:33" ht="14" thickBot="1" x14ac:dyDescent="0.3">
      <c r="F129" s="157" t="s">
        <v>37</v>
      </c>
      <c r="G129" s="158"/>
      <c r="H129" s="159" t="s">
        <v>32</v>
      </c>
      <c r="I129" s="99"/>
      <c r="J129" s="161" t="s">
        <v>33</v>
      </c>
      <c r="K129" s="280"/>
      <c r="L129" s="1" t="s">
        <v>65</v>
      </c>
      <c r="M129" s="137" t="str" cm="1">
        <f t="array" ref="M129">_xlfn.IFS(F129&lt;&gt;"Valitse uusiomateriaali",N129+O129,F129="Valitse uusiomateriaali","")</f>
        <v/>
      </c>
      <c r="N129" s="137" t="str" cm="1">
        <f t="array" ref="N129">_xlfn.IFS(H129="kg",VLOOKUP(F129,Päästökertoimet!$C$5:$I$34,2,FALSE)*G129,H129="m3",VLOOKUP(F129,Päästökertoimet!$C$5:$I$34,6,FALSE)*G129,F129="Valitse uusiomateriaali","")</f>
        <v/>
      </c>
      <c r="O129" s="138" t="str" cm="1">
        <f t="array" ref="O129">_xlfn.IFS(H129="kg",VLOOKUP(Laskentasivu!J129,Päästökertoimet!$M$5:$O$29,2,FALSE)*K129*(G129/1000),H129="m3",VLOOKUP(Laskentasivu!J129,Päästökertoimet!$M$5:$O$29,2,FALSE)*K129*G129*VLOOKUP(F129,Päästökertoimet!$C$5:$I$34,4,FALSE)/1000,F129="Valitse uusiomateriaali","")</f>
        <v/>
      </c>
      <c r="T129" s="28" t="str">
        <f t="shared" si="4"/>
        <v>Valitse uusiomateriaali</v>
      </c>
      <c r="U129" s="140" t="str" cm="1">
        <f t="array" ref="U129">IF(V129&lt;&gt;"",_xlfn.XLOOKUP(T129,Kustannukset!$B$15:$B$70,_xlfn.XLOOKUP(Laskentasivu!V129,Kustannukset!$C$14:$E$14,Kustannukset!$C$15:$E$70)),"")</f>
        <v/>
      </c>
      <c r="V129" s="133" t="str" cm="1">
        <f t="array" ref="V129">_xlfn.IFS(H129="kg",Aputaulukko!$F$11,H129="m3",Aputaulukko!$F$12,H129="Materiaalin yksikkö","")</f>
        <v/>
      </c>
      <c r="X129" s="285" t="s">
        <v>328</v>
      </c>
      <c r="Y129" s="1" t="s">
        <v>65</v>
      </c>
      <c r="Z129" s="285"/>
      <c r="AA129" s="1" t="s">
        <v>326</v>
      </c>
      <c r="AB129" s="170" t="str">
        <f>IF(Z129&lt;&gt;"",SUMIFS(Kustannukset!$C$78:$C$92,Kustannukset!$B$78:$B$92,Laskentasivu!J129,Kustannukset!$E$78:$E$92,Laskentasivu!X129,Kustannukset!$G$78:$G$92,Laskentasivu!Z129),"")</f>
        <v/>
      </c>
      <c r="AC129" s="1" t="s">
        <v>27</v>
      </c>
      <c r="AE129" s="137">
        <f t="shared" si="5"/>
        <v>0</v>
      </c>
      <c r="AF129" s="137" cm="1">
        <f t="array" ref="AF129">_xlfn.IFS(V129="e/kg",IF(H129="kg",U129*G129),V129="e/m3",IF(H129="m3",U129*G129),V129="",0)</f>
        <v>0</v>
      </c>
      <c r="AG129" s="138" cm="1">
        <f t="array" ref="AG129">_xlfn.IFS(AND(AB129&lt;&gt;"",H129="kg"),K129*AB129*((G129/1000)/VLOOKUP(J129,Kustannukset!$B$79:$K$92,9,FALSE)),AND(AB129&lt;&gt;"",H129="m3"),K129*AB129*((G129*VLOOKUP(F129,Päästökertoimet!$C$5:$I$59,4,FALSE)/1000)/VLOOKUP(J129,Kustannukset!$B$79:$K$92,9,FALSE)),AB129="",0)</f>
        <v>0</v>
      </c>
    </row>
    <row r="130" spans="6:33" ht="14" thickBot="1" x14ac:dyDescent="0.3">
      <c r="F130" s="157" t="s">
        <v>37</v>
      </c>
      <c r="G130" s="158"/>
      <c r="H130" s="159" t="s">
        <v>32</v>
      </c>
      <c r="I130" s="99"/>
      <c r="J130" s="161" t="s">
        <v>33</v>
      </c>
      <c r="K130" s="280"/>
      <c r="L130" s="1" t="s">
        <v>65</v>
      </c>
      <c r="M130" s="137" t="str" cm="1">
        <f t="array" ref="M130">_xlfn.IFS(F130&lt;&gt;"Valitse uusiomateriaali",N130+O130,F130="Valitse uusiomateriaali","")</f>
        <v/>
      </c>
      <c r="N130" s="137" t="str" cm="1">
        <f t="array" ref="N130">_xlfn.IFS(H130="kg",VLOOKUP(F130,Päästökertoimet!$C$5:$I$34,2,FALSE)*G130,H130="m3",VLOOKUP(F130,Päästökertoimet!$C$5:$I$34,6,FALSE)*G130,F130="Valitse uusiomateriaali","")</f>
        <v/>
      </c>
      <c r="O130" s="138" t="str" cm="1">
        <f t="array" ref="O130">_xlfn.IFS(H130="kg",VLOOKUP(Laskentasivu!J130,Päästökertoimet!$M$5:$O$29,2,FALSE)*K130*(G130/1000),H130="m3",VLOOKUP(Laskentasivu!J130,Päästökertoimet!$M$5:$O$29,2,FALSE)*K130*G130*VLOOKUP(F130,Päästökertoimet!$C$5:$I$34,4,FALSE)/1000,F130="Valitse uusiomateriaali","")</f>
        <v/>
      </c>
      <c r="T130" s="28" t="str">
        <f t="shared" si="4"/>
        <v>Valitse uusiomateriaali</v>
      </c>
      <c r="U130" s="140" t="str" cm="1">
        <f t="array" ref="U130">IF(V130&lt;&gt;"",_xlfn.XLOOKUP(T130,Kustannukset!$B$15:$B$70,_xlfn.XLOOKUP(Laskentasivu!V130,Kustannukset!$C$14:$E$14,Kustannukset!$C$15:$E$70)),"")</f>
        <v/>
      </c>
      <c r="V130" s="133" t="str" cm="1">
        <f t="array" ref="V130">_xlfn.IFS(H130="kg",Aputaulukko!$F$11,H130="m3",Aputaulukko!$F$12,H130="Materiaalin yksikkö","")</f>
        <v/>
      </c>
      <c r="X130" s="285" t="s">
        <v>328</v>
      </c>
      <c r="Y130" s="1" t="s">
        <v>65</v>
      </c>
      <c r="Z130" s="285"/>
      <c r="AA130" s="1" t="s">
        <v>326</v>
      </c>
      <c r="AB130" s="170" t="str">
        <f>IF(Z130&lt;&gt;"",SUMIFS(Kustannukset!$C$78:$C$92,Kustannukset!$B$78:$B$92,Laskentasivu!J130,Kustannukset!$E$78:$E$92,Laskentasivu!X130,Kustannukset!$G$78:$G$92,Laskentasivu!Z130),"")</f>
        <v/>
      </c>
      <c r="AC130" s="1" t="s">
        <v>27</v>
      </c>
      <c r="AE130" s="137">
        <f t="shared" si="5"/>
        <v>0</v>
      </c>
      <c r="AF130" s="137" cm="1">
        <f t="array" ref="AF130">_xlfn.IFS(V130="e/kg",IF(H130="kg",U130*G130),V130="e/m3",IF(H130="m3",U130*G130),V130="",0)</f>
        <v>0</v>
      </c>
      <c r="AG130" s="138" cm="1">
        <f t="array" ref="AG130">_xlfn.IFS(AND(AB130&lt;&gt;"",H130="kg"),K130*AB130*((G130/1000)/VLOOKUP(J130,Kustannukset!$B$79:$K$92,9,FALSE)),AND(AB130&lt;&gt;"",H130="m3"),K130*AB130*((G130*VLOOKUP(F130,Päästökertoimet!$C$5:$I$59,4,FALSE)/1000)/VLOOKUP(J130,Kustannukset!$B$79:$K$92,9,FALSE)),AB130="",0)</f>
        <v>0</v>
      </c>
    </row>
    <row r="131" spans="6:33" ht="14" thickBot="1" x14ac:dyDescent="0.3">
      <c r="F131" s="157" t="s">
        <v>37</v>
      </c>
      <c r="G131" s="158"/>
      <c r="H131" s="159" t="s">
        <v>32</v>
      </c>
      <c r="I131" s="99"/>
      <c r="J131" s="161" t="s">
        <v>33</v>
      </c>
      <c r="K131" s="280"/>
      <c r="L131" s="1" t="s">
        <v>65</v>
      </c>
      <c r="M131" s="137" t="str" cm="1">
        <f t="array" ref="M131">_xlfn.IFS(F131&lt;&gt;"Valitse uusiomateriaali",N131+O131,F131="Valitse uusiomateriaali","")</f>
        <v/>
      </c>
      <c r="N131" s="137" t="str" cm="1">
        <f t="array" ref="N131">_xlfn.IFS(H131="kg",VLOOKUP(F131,Päästökertoimet!$C$5:$I$34,2,FALSE)*G131,H131="m3",VLOOKUP(F131,Päästökertoimet!$C$5:$I$34,6,FALSE)*G131,F131="Valitse uusiomateriaali","")</f>
        <v/>
      </c>
      <c r="O131" s="138" t="str" cm="1">
        <f t="array" ref="O131">_xlfn.IFS(H131="kg",VLOOKUP(Laskentasivu!J131,Päästökertoimet!$M$5:$O$29,2,FALSE)*K131*(G131/1000),H131="m3",VLOOKUP(Laskentasivu!J131,Päästökertoimet!$M$5:$O$29,2,FALSE)*K131*G131*VLOOKUP(F131,Päästökertoimet!$C$5:$I$34,4,FALSE)/1000,F131="Valitse uusiomateriaali","")</f>
        <v/>
      </c>
      <c r="T131" s="28" t="str">
        <f t="shared" si="4"/>
        <v>Valitse uusiomateriaali</v>
      </c>
      <c r="U131" s="140" t="str" cm="1">
        <f t="array" ref="U131">IF(V131&lt;&gt;"",_xlfn.XLOOKUP(T131,Kustannukset!$B$15:$B$70,_xlfn.XLOOKUP(Laskentasivu!V131,Kustannukset!$C$14:$E$14,Kustannukset!$C$15:$E$70)),"")</f>
        <v/>
      </c>
      <c r="V131" s="133" t="str" cm="1">
        <f t="array" ref="V131">_xlfn.IFS(H131="kg",Aputaulukko!$F$11,H131="m3",Aputaulukko!$F$12,H131="Materiaalin yksikkö","")</f>
        <v/>
      </c>
      <c r="X131" s="285" t="s">
        <v>328</v>
      </c>
      <c r="Y131" s="1" t="s">
        <v>65</v>
      </c>
      <c r="Z131" s="285"/>
      <c r="AA131" s="1" t="s">
        <v>326</v>
      </c>
      <c r="AB131" s="170" t="str">
        <f>IF(Z131&lt;&gt;"",SUMIFS(Kustannukset!$C$78:$C$92,Kustannukset!$B$78:$B$92,Laskentasivu!J131,Kustannukset!$E$78:$E$92,Laskentasivu!X131,Kustannukset!$G$78:$G$92,Laskentasivu!Z131),"")</f>
        <v/>
      </c>
      <c r="AC131" s="1" t="s">
        <v>27</v>
      </c>
      <c r="AE131" s="137">
        <f t="shared" si="5"/>
        <v>0</v>
      </c>
      <c r="AF131" s="137" cm="1">
        <f t="array" ref="AF131">_xlfn.IFS(V131="e/kg",IF(H131="kg",U131*G131),V131="e/m3",IF(H131="m3",U131*G131),V131="",0)</f>
        <v>0</v>
      </c>
      <c r="AG131" s="138" cm="1">
        <f t="array" ref="AG131">_xlfn.IFS(AND(AB131&lt;&gt;"",H131="kg"),K131*AB131*((G131/1000)/VLOOKUP(J131,Kustannukset!$B$79:$K$92,9,FALSE)),AND(AB131&lt;&gt;"",H131="m3"),K131*AB131*((G131*VLOOKUP(F131,Päästökertoimet!$C$5:$I$59,4,FALSE)/1000)/VLOOKUP(J131,Kustannukset!$B$79:$K$92,9,FALSE)),AB131="",0)</f>
        <v>0</v>
      </c>
    </row>
    <row r="132" spans="6:33" ht="14" thickBot="1" x14ac:dyDescent="0.3">
      <c r="F132" s="157" t="s">
        <v>37</v>
      </c>
      <c r="G132" s="158"/>
      <c r="H132" s="159" t="s">
        <v>32</v>
      </c>
      <c r="I132" s="99"/>
      <c r="J132" s="161" t="s">
        <v>33</v>
      </c>
      <c r="K132" s="280"/>
      <c r="L132" s="1" t="s">
        <v>65</v>
      </c>
      <c r="M132" s="137" t="str" cm="1">
        <f t="array" ref="M132">_xlfn.IFS(F132&lt;&gt;"Valitse uusiomateriaali",N132+O132,F132="Valitse uusiomateriaali","")</f>
        <v/>
      </c>
      <c r="N132" s="137" t="str" cm="1">
        <f t="array" ref="N132">_xlfn.IFS(H132="kg",VLOOKUP(F132,Päästökertoimet!$C$5:$I$34,2,FALSE)*G132,H132="m3",VLOOKUP(F132,Päästökertoimet!$C$5:$I$34,6,FALSE)*G132,F132="Valitse uusiomateriaali","")</f>
        <v/>
      </c>
      <c r="O132" s="138" t="str" cm="1">
        <f t="array" ref="O132">_xlfn.IFS(H132="kg",VLOOKUP(Laskentasivu!J132,Päästökertoimet!$M$5:$O$29,2,FALSE)*K132*(G132/1000),H132="m3",VLOOKUP(Laskentasivu!J132,Päästökertoimet!$M$5:$O$29,2,FALSE)*K132*G132*VLOOKUP(F132,Päästökertoimet!$C$5:$I$34,4,FALSE)/1000,F132="Valitse uusiomateriaali","")</f>
        <v/>
      </c>
      <c r="T132" s="28" t="str">
        <f t="shared" si="4"/>
        <v>Valitse uusiomateriaali</v>
      </c>
      <c r="U132" s="140" t="str" cm="1">
        <f t="array" ref="U132">IF(V132&lt;&gt;"",_xlfn.XLOOKUP(T132,Kustannukset!$B$15:$B$70,_xlfn.XLOOKUP(Laskentasivu!V132,Kustannukset!$C$14:$E$14,Kustannukset!$C$15:$E$70)),"")</f>
        <v/>
      </c>
      <c r="V132" s="133" t="str" cm="1">
        <f t="array" ref="V132">_xlfn.IFS(H132="kg",Aputaulukko!$F$11,H132="m3",Aputaulukko!$F$12,H132="Materiaalin yksikkö","")</f>
        <v/>
      </c>
      <c r="X132" s="285" t="s">
        <v>328</v>
      </c>
      <c r="Y132" s="1" t="s">
        <v>65</v>
      </c>
      <c r="Z132" s="285"/>
      <c r="AA132" s="1" t="s">
        <v>326</v>
      </c>
      <c r="AB132" s="170" t="str">
        <f>IF(Z132&lt;&gt;"",SUMIFS(Kustannukset!$C$78:$C$92,Kustannukset!$B$78:$B$92,Laskentasivu!J132,Kustannukset!$E$78:$E$92,Laskentasivu!X132,Kustannukset!$G$78:$G$92,Laskentasivu!Z132),"")</f>
        <v/>
      </c>
      <c r="AC132" s="1" t="s">
        <v>27</v>
      </c>
      <c r="AE132" s="137">
        <f t="shared" si="5"/>
        <v>0</v>
      </c>
      <c r="AF132" s="137" cm="1">
        <f t="array" ref="AF132">_xlfn.IFS(V132="e/kg",IF(H132="kg",U132*G132),V132="e/m3",IF(H132="m3",U132*G132),V132="",0)</f>
        <v>0</v>
      </c>
      <c r="AG132" s="138" cm="1">
        <f t="array" ref="AG132">_xlfn.IFS(AND(AB132&lt;&gt;"",H132="kg"),K132*AB132*((G132/1000)/VLOOKUP(J132,Kustannukset!$B$79:$K$92,9,FALSE)),AND(AB132&lt;&gt;"",H132="m3"),K132*AB132*((G132*VLOOKUP(F132,Päästökertoimet!$C$5:$I$59,4,FALSE)/1000)/VLOOKUP(J132,Kustannukset!$B$79:$K$92,9,FALSE)),AB132="",0)</f>
        <v>0</v>
      </c>
    </row>
    <row r="133" spans="6:33" ht="14" thickBot="1" x14ac:dyDescent="0.3">
      <c r="F133" s="157" t="s">
        <v>37</v>
      </c>
      <c r="G133" s="158"/>
      <c r="H133" s="159" t="s">
        <v>32</v>
      </c>
      <c r="I133" s="99"/>
      <c r="J133" s="161" t="s">
        <v>33</v>
      </c>
      <c r="K133" s="280"/>
      <c r="L133" s="1" t="s">
        <v>65</v>
      </c>
      <c r="M133" s="137" t="str" cm="1">
        <f t="array" ref="M133">_xlfn.IFS(F133&lt;&gt;"Valitse uusiomateriaali",N133+O133,F133="Valitse uusiomateriaali","")</f>
        <v/>
      </c>
      <c r="N133" s="137" t="str" cm="1">
        <f t="array" ref="N133">_xlfn.IFS(H133="kg",VLOOKUP(F133,Päästökertoimet!$C$5:$I$34,2,FALSE)*G133,H133="m3",VLOOKUP(F133,Päästökertoimet!$C$5:$I$34,6,FALSE)*G133,F133="Valitse uusiomateriaali","")</f>
        <v/>
      </c>
      <c r="O133" s="138" t="str" cm="1">
        <f t="array" ref="O133">_xlfn.IFS(H133="kg",VLOOKUP(Laskentasivu!J133,Päästökertoimet!$M$5:$O$29,2,FALSE)*K133*(G133/1000),H133="m3",VLOOKUP(Laskentasivu!J133,Päästökertoimet!$M$5:$O$29,2,FALSE)*K133*G133*VLOOKUP(F133,Päästökertoimet!$C$5:$I$34,4,FALSE)/1000,F133="Valitse uusiomateriaali","")</f>
        <v/>
      </c>
      <c r="T133" s="28" t="str">
        <f t="shared" si="4"/>
        <v>Valitse uusiomateriaali</v>
      </c>
      <c r="U133" s="140" t="str" cm="1">
        <f t="array" ref="U133">IF(V133&lt;&gt;"",_xlfn.XLOOKUP(T133,Kustannukset!$B$15:$B$70,_xlfn.XLOOKUP(Laskentasivu!V133,Kustannukset!$C$14:$E$14,Kustannukset!$C$15:$E$70)),"")</f>
        <v/>
      </c>
      <c r="V133" s="133" t="str" cm="1">
        <f t="array" ref="V133">_xlfn.IFS(H133="kg",Aputaulukko!$F$11,H133="m3",Aputaulukko!$F$12,H133="Materiaalin yksikkö","")</f>
        <v/>
      </c>
      <c r="X133" s="285" t="s">
        <v>328</v>
      </c>
      <c r="Y133" s="1" t="s">
        <v>65</v>
      </c>
      <c r="Z133" s="285"/>
      <c r="AA133" s="1" t="s">
        <v>326</v>
      </c>
      <c r="AB133" s="170" t="str">
        <f>IF(Z133&lt;&gt;"",SUMIFS(Kustannukset!$C$78:$C$92,Kustannukset!$B$78:$B$92,Laskentasivu!J133,Kustannukset!$E$78:$E$92,Laskentasivu!X133,Kustannukset!$G$78:$G$92,Laskentasivu!Z133),"")</f>
        <v/>
      </c>
      <c r="AC133" s="1" t="s">
        <v>27</v>
      </c>
      <c r="AE133" s="137">
        <f t="shared" si="5"/>
        <v>0</v>
      </c>
      <c r="AF133" s="137" cm="1">
        <f t="array" ref="AF133">_xlfn.IFS(V133="e/kg",IF(H133="kg",U133*G133),V133="e/m3",IF(H133="m3",U133*G133),V133="",0)</f>
        <v>0</v>
      </c>
      <c r="AG133" s="138" cm="1">
        <f t="array" ref="AG133">_xlfn.IFS(AND(AB133&lt;&gt;"",H133="kg"),K133*AB133*((G133/1000)/VLOOKUP(J133,Kustannukset!$B$79:$K$92,9,FALSE)),AND(AB133&lt;&gt;"",H133="m3"),K133*AB133*((G133*VLOOKUP(F133,Päästökertoimet!$C$5:$I$59,4,FALSE)/1000)/VLOOKUP(J133,Kustannukset!$B$79:$K$92,9,FALSE)),AB133="",0)</f>
        <v>0</v>
      </c>
    </row>
    <row r="134" spans="6:33" ht="14" thickBot="1" x14ac:dyDescent="0.3">
      <c r="F134" s="157" t="s">
        <v>37</v>
      </c>
      <c r="G134" s="158"/>
      <c r="H134" s="160" t="s">
        <v>32</v>
      </c>
      <c r="I134" s="99"/>
      <c r="J134" s="161" t="s">
        <v>33</v>
      </c>
      <c r="K134" s="280"/>
      <c r="L134" s="1" t="s">
        <v>65</v>
      </c>
      <c r="M134" s="137" t="str" cm="1">
        <f t="array" ref="M134">_xlfn.IFS(F134&lt;&gt;"Valitse uusiomateriaali",N134+O134,F134="Valitse uusiomateriaali","")</f>
        <v/>
      </c>
      <c r="N134" s="137" t="str" cm="1">
        <f t="array" ref="N134">_xlfn.IFS(H134="kg",VLOOKUP(F134,Päästökertoimet!$C$5:$I$34,2,FALSE)*G134,H134="m3",VLOOKUP(F134,Päästökertoimet!$C$5:$I$34,6,FALSE)*G134,F134="Valitse uusiomateriaali","")</f>
        <v/>
      </c>
      <c r="O134" s="138" t="str" cm="1">
        <f t="array" ref="O134">_xlfn.IFS(H134="kg",VLOOKUP(Laskentasivu!J134,Päästökertoimet!$M$5:$O$29,2,FALSE)*K134*(G134/1000),H134="m3",VLOOKUP(Laskentasivu!J134,Päästökertoimet!$M$5:$O$29,2,FALSE)*K134*G134*VLOOKUP(F134,Päästökertoimet!$C$5:$I$34,4,FALSE)/1000,F134="Valitse uusiomateriaali","")</f>
        <v/>
      </c>
      <c r="T134" s="28" t="str">
        <f t="shared" si="4"/>
        <v>Valitse uusiomateriaali</v>
      </c>
      <c r="U134" s="140" t="str" cm="1">
        <f t="array" ref="U134">IF(V134&lt;&gt;"",_xlfn.XLOOKUP(T134,Kustannukset!$B$15:$B$70,_xlfn.XLOOKUP(Laskentasivu!V134,Kustannukset!$C$14:$E$14,Kustannukset!$C$15:$E$70)),"")</f>
        <v/>
      </c>
      <c r="V134" s="133" t="str" cm="1">
        <f t="array" ref="V134">_xlfn.IFS(H134="kg",Aputaulukko!$F$11,H134="m3",Aputaulukko!$F$12,H134="Materiaalin yksikkö","")</f>
        <v/>
      </c>
      <c r="X134" s="285" t="s">
        <v>328</v>
      </c>
      <c r="Y134" s="1" t="s">
        <v>65</v>
      </c>
      <c r="Z134" s="285"/>
      <c r="AA134" s="1" t="s">
        <v>326</v>
      </c>
      <c r="AB134" s="170" t="str">
        <f>IF(Z134&lt;&gt;"",SUMIFS(Kustannukset!$C$78:$C$92,Kustannukset!$B$78:$B$92,Laskentasivu!J134,Kustannukset!$E$78:$E$92,Laskentasivu!X134,Kustannukset!$G$78:$G$92,Laskentasivu!Z134),"")</f>
        <v/>
      </c>
      <c r="AC134" s="1" t="s">
        <v>27</v>
      </c>
      <c r="AE134" s="137">
        <f t="shared" si="5"/>
        <v>0</v>
      </c>
      <c r="AF134" s="137" cm="1">
        <f t="array" ref="AF134">_xlfn.IFS(V134="e/kg",IF(H134="kg",U134*G134),V134="e/m3",IF(H134="m3",U134*G134),V134="",0)</f>
        <v>0</v>
      </c>
      <c r="AG134" s="138" cm="1">
        <f t="array" ref="AG134">_xlfn.IFS(AND(AB134&lt;&gt;"",H134="kg"),K134*AB134*((G134/1000)/VLOOKUP(J134,Kustannukset!$B$79:$K$92,9,FALSE)),AND(AB134&lt;&gt;"",H134="m3"),K134*AB134*((G134*VLOOKUP(F134,Päästökertoimet!$C$5:$I$59,4,FALSE)/1000)/VLOOKUP(J134,Kustannukset!$B$79:$K$92,9,FALSE)),AB134="",0)</f>
        <v>0</v>
      </c>
    </row>
    <row r="135" spans="6:33" x14ac:dyDescent="0.25">
      <c r="F135" s="8"/>
      <c r="I135" s="4"/>
      <c r="M135" s="27"/>
      <c r="N135" s="38"/>
      <c r="O135" s="52"/>
      <c r="T135" s="28"/>
      <c r="U135" s="76"/>
      <c r="AE135" s="27"/>
      <c r="AF135" s="27"/>
      <c r="AG135" s="56"/>
    </row>
    <row r="136" spans="6:33" ht="28" x14ac:dyDescent="0.35">
      <c r="F136" s="96" t="s">
        <v>367</v>
      </c>
      <c r="G136" s="17"/>
      <c r="H136" s="17"/>
      <c r="I136" s="17"/>
      <c r="J136" s="17"/>
      <c r="K136" s="17"/>
      <c r="M136" s="94" t="s">
        <v>39</v>
      </c>
      <c r="N136" s="53"/>
      <c r="O136" s="54"/>
      <c r="T136" s="4"/>
      <c r="U136" s="4"/>
      <c r="V136" s="4"/>
      <c r="W136" s="4"/>
      <c r="X136" s="4"/>
      <c r="Y136" s="4"/>
      <c r="Z136" s="4"/>
      <c r="AA136" s="4"/>
      <c r="AB136" s="4"/>
      <c r="AC136" s="4"/>
      <c r="AD136" s="4"/>
      <c r="AE136" s="4"/>
      <c r="AF136" s="4"/>
      <c r="AG136" s="4"/>
    </row>
    <row r="137" spans="6:33" ht="28.5" thickBot="1" x14ac:dyDescent="0.4">
      <c r="F137" s="35" t="s">
        <v>352</v>
      </c>
      <c r="G137" s="17" t="s">
        <v>12</v>
      </c>
      <c r="H137" s="17" t="s">
        <v>13</v>
      </c>
      <c r="I137" s="17"/>
      <c r="J137" s="17"/>
      <c r="K137" s="17"/>
      <c r="M137" s="26" t="s">
        <v>355</v>
      </c>
      <c r="N137" s="174"/>
      <c r="O137" s="56"/>
      <c r="AC137" s="338" t="s">
        <v>72</v>
      </c>
      <c r="AD137" s="339"/>
      <c r="AE137" s="339"/>
      <c r="AF137" s="134">
        <f>SUM(AF102:AF134)</f>
        <v>0</v>
      </c>
      <c r="AG137" s="44" t="s">
        <v>73</v>
      </c>
    </row>
    <row r="138" spans="6:33" ht="18" thickBot="1" x14ac:dyDescent="0.4">
      <c r="F138" s="175" t="s">
        <v>347</v>
      </c>
      <c r="G138" s="163"/>
      <c r="H138" s="176" t="s">
        <v>45</v>
      </c>
      <c r="I138" s="17"/>
      <c r="J138" s="17"/>
      <c r="K138" s="17"/>
      <c r="M138" s="228" t="str" cm="1">
        <f t="array" ref="M138">_xlfn.IFS(G138&lt;&gt;"",G138*Päästökertoimet!AG5,G138="","")</f>
        <v/>
      </c>
      <c r="N138" s="174"/>
      <c r="O138" s="56"/>
      <c r="AC138" s="340" t="s">
        <v>76</v>
      </c>
      <c r="AD138" s="341"/>
      <c r="AE138" s="341"/>
      <c r="AF138" s="135">
        <f>SUM(AG102:AG134)</f>
        <v>0</v>
      </c>
      <c r="AG138" s="46" t="s">
        <v>73</v>
      </c>
    </row>
    <row r="139" spans="6:33" ht="18" thickBot="1" x14ac:dyDescent="0.4">
      <c r="F139" s="175" t="s">
        <v>261</v>
      </c>
      <c r="G139" s="163"/>
      <c r="H139" s="176" t="s">
        <v>45</v>
      </c>
      <c r="I139" s="17"/>
      <c r="J139" s="17"/>
      <c r="K139" s="17"/>
      <c r="M139" s="228" t="str" cm="1">
        <f t="array" ref="M139">_xlfn.IFS(G139&lt;&gt;"",G139*Päästökertoimet!AG6,G139="","")</f>
        <v/>
      </c>
      <c r="N139" s="174"/>
      <c r="O139" s="56"/>
      <c r="AB139" s="45"/>
      <c r="AC139" s="342" t="s">
        <v>78</v>
      </c>
      <c r="AD139" s="343"/>
      <c r="AE139" s="343"/>
      <c r="AF139" s="136">
        <f>SUM(AF137:AF138)</f>
        <v>0</v>
      </c>
      <c r="AG139" s="49" t="s">
        <v>73</v>
      </c>
    </row>
    <row r="140" spans="6:33" ht="14" thickBot="1" x14ac:dyDescent="0.3">
      <c r="F140" s="175" t="s">
        <v>348</v>
      </c>
      <c r="G140" s="163"/>
      <c r="H140" s="176" t="s">
        <v>45</v>
      </c>
      <c r="I140" s="17"/>
      <c r="J140" s="17"/>
      <c r="K140" s="17"/>
      <c r="M140" s="228" t="str" cm="1">
        <f t="array" ref="M140">_xlfn.IFS(G140&lt;&gt;"",G140*Päästökertoimet!AG7,G140="","")</f>
        <v/>
      </c>
      <c r="N140" s="174"/>
      <c r="O140" s="56"/>
    </row>
    <row r="141" spans="6:33" ht="14" thickBot="1" x14ac:dyDescent="0.3">
      <c r="F141" s="175" t="s">
        <v>262</v>
      </c>
      <c r="G141" s="163"/>
      <c r="H141" s="176" t="s">
        <v>45</v>
      </c>
      <c r="I141" s="17"/>
      <c r="J141" s="17"/>
      <c r="K141" s="17"/>
      <c r="M141" s="228" t="str" cm="1">
        <f t="array" ref="M141">_xlfn.IFS(G141&lt;&gt;"",G141*Päästökertoimet!AG8,G141="","")</f>
        <v/>
      </c>
      <c r="N141" s="174"/>
      <c r="O141" s="56"/>
    </row>
    <row r="142" spans="6:33" ht="14" thickBot="1" x14ac:dyDescent="0.3">
      <c r="F142" s="175" t="s">
        <v>349</v>
      </c>
      <c r="G142" s="163"/>
      <c r="H142" s="176" t="s">
        <v>29</v>
      </c>
      <c r="I142" s="17"/>
      <c r="J142" s="17"/>
      <c r="K142" s="17"/>
      <c r="M142" s="228" t="str" cm="1">
        <f t="array" ref="M142">_xlfn.IFS(G142&lt;&gt;"",G142*Päästökertoimet!AG9,G142="","")</f>
        <v/>
      </c>
      <c r="N142" s="174"/>
      <c r="O142" s="56"/>
    </row>
    <row r="143" spans="6:33" ht="14" thickBot="1" x14ac:dyDescent="0.3">
      <c r="F143" s="175" t="s">
        <v>350</v>
      </c>
      <c r="G143" s="163"/>
      <c r="H143" s="176" t="s">
        <v>29</v>
      </c>
      <c r="I143" s="17"/>
      <c r="J143" s="17"/>
      <c r="K143" s="17"/>
      <c r="M143" s="228" t="str" cm="1">
        <f t="array" ref="M143">_xlfn.IFS(G143&lt;&gt;"",G143*Päästökertoimet!AG10,G143="","")</f>
        <v/>
      </c>
      <c r="N143" s="174"/>
      <c r="O143" s="56"/>
    </row>
    <row r="144" spans="6:33" ht="14" thickBot="1" x14ac:dyDescent="0.3">
      <c r="F144" s="175" t="s">
        <v>351</v>
      </c>
      <c r="G144" s="163"/>
      <c r="H144" s="176" t="s">
        <v>29</v>
      </c>
      <c r="I144" s="17"/>
      <c r="J144" s="17"/>
      <c r="K144" s="17"/>
      <c r="M144" s="228" t="str" cm="1">
        <f t="array" ref="M144">_xlfn.IFS(G144&lt;&gt;"",G144*Päästökertoimet!AG11,G144="","")</f>
        <v/>
      </c>
      <c r="N144" s="174"/>
      <c r="O144" s="56"/>
    </row>
    <row r="145" spans="6:15" ht="19.5" x14ac:dyDescent="0.35">
      <c r="F145" s="96"/>
      <c r="G145" s="17"/>
      <c r="H145" s="17"/>
      <c r="I145" s="17"/>
      <c r="J145" s="17"/>
      <c r="K145" s="17"/>
      <c r="M145" s="26"/>
      <c r="N145" s="174"/>
      <c r="O145" s="56"/>
    </row>
    <row r="146" spans="6:15" ht="41" thickBot="1" x14ac:dyDescent="0.3">
      <c r="F146" s="6" t="s">
        <v>356</v>
      </c>
      <c r="G146" s="127" t="s">
        <v>41</v>
      </c>
      <c r="H146" s="17" t="s">
        <v>13</v>
      </c>
      <c r="I146" s="17"/>
      <c r="J146" s="17" t="s">
        <v>357</v>
      </c>
      <c r="K146" s="17"/>
      <c r="M146" s="65" t="s">
        <v>40</v>
      </c>
      <c r="N146" s="95" t="s">
        <v>42</v>
      </c>
      <c r="O146" s="132" t="s">
        <v>43</v>
      </c>
    </row>
    <row r="147" spans="6:15" ht="14" thickBot="1" x14ac:dyDescent="0.3">
      <c r="F147" s="162" t="s">
        <v>51</v>
      </c>
      <c r="G147" s="163"/>
      <c r="H147" s="164" t="s">
        <v>52</v>
      </c>
      <c r="J147" s="165" t="s">
        <v>46</v>
      </c>
      <c r="M147" s="137" t="str" cm="1">
        <f t="array" ref="M147">_xlfn.IFS(H147="h",G147*VLOOKUP(F147,Päästökertoimet!$S$5:$W$31,2,FALSE),H147="l",G147*VLOOKUP(F147,Päästökertoimet!$S$5:$W$31,4,FALSE),F147="Valitse työkone","")</f>
        <v/>
      </c>
      <c r="N147" s="139" t="str" cm="1">
        <f t="array" ref="N147">_xlfn.IFS(J147&lt;&gt;"Valitse työvaihe",((SUMIF($H$102:$H$134,"kg",$G$102:$G$134)+Aputaulukko!$G$24)/1000)*VLOOKUP(J147,Päästökertoimet!$S$44:$W$56,5,FALSE),J147="Valitse työvaihe","")</f>
        <v/>
      </c>
      <c r="O147" s="138"/>
    </row>
    <row r="148" spans="6:15" ht="14" thickBot="1" x14ac:dyDescent="0.3">
      <c r="F148" s="162" t="s">
        <v>51</v>
      </c>
      <c r="G148" s="163"/>
      <c r="H148" s="164" t="s">
        <v>52</v>
      </c>
      <c r="J148" s="165" t="s">
        <v>46</v>
      </c>
      <c r="M148" s="137" t="str" cm="1">
        <f t="array" ref="M148">_xlfn.IFS(H148="h",G148*VLOOKUP(F148,Päästökertoimet!$S$5:$W$31,2,FALSE),H148="l",G148*VLOOKUP(F148,Päästökertoimet!$S$5:$W$31,4,FALSE),F148="Valitse työkone","")</f>
        <v/>
      </c>
      <c r="N148" s="139" t="str" cm="1">
        <f t="array" ref="N148">_xlfn.IFS(J148&lt;&gt;"Valitse työvaihe",((SUMIF($H$102:$H$134,"kg",$G$102:$G$134)+Aputaulukko!$G$24)/1000)*VLOOKUP(J148,Päästökertoimet!$S$44:$W$56,5,FALSE),J148="Valitse työvaihe","")</f>
        <v/>
      </c>
      <c r="O148" s="138"/>
    </row>
    <row r="149" spans="6:15" ht="14" thickBot="1" x14ac:dyDescent="0.3">
      <c r="F149" s="162" t="s">
        <v>51</v>
      </c>
      <c r="G149" s="163"/>
      <c r="H149" s="164" t="s">
        <v>52</v>
      </c>
      <c r="J149" s="165" t="s">
        <v>46</v>
      </c>
      <c r="M149" s="137" t="str" cm="1">
        <f t="array" ref="M149">_xlfn.IFS(H149="h",G149*VLOOKUP(F149,Päästökertoimet!$S$5:$W$31,2,FALSE),H149="l",G149*VLOOKUP(F149,Päästökertoimet!$S$5:$W$31,4,FALSE),F149="Valitse työkone","")</f>
        <v/>
      </c>
      <c r="N149" s="139" t="str" cm="1">
        <f t="array" ref="N149">_xlfn.IFS(J149&lt;&gt;"Valitse työvaihe",((SUMIF($H$102:$H$134,"kg",$G$102:$G$134)+Aputaulukko!$G$24)/1000)*VLOOKUP(J149,Päästökertoimet!$S$44:$W$56,5,FALSE),J149="Valitse työvaihe","")</f>
        <v/>
      </c>
      <c r="O149" s="138"/>
    </row>
    <row r="150" spans="6:15" ht="14" thickBot="1" x14ac:dyDescent="0.3">
      <c r="F150" s="162" t="s">
        <v>51</v>
      </c>
      <c r="G150" s="163"/>
      <c r="H150" s="164" t="s">
        <v>52</v>
      </c>
      <c r="J150" s="165" t="s">
        <v>46</v>
      </c>
      <c r="M150" s="137" t="str" cm="1">
        <f t="array" ref="M150">_xlfn.IFS(H150="h",G150*VLOOKUP(F150,Päästökertoimet!$S$5:$W$31,2,FALSE),H150="l",G150*VLOOKUP(F150,Päästökertoimet!$S$5:$W$31,4,FALSE),F150="Valitse työkone","")</f>
        <v/>
      </c>
      <c r="N150" s="139" t="str" cm="1">
        <f t="array" ref="N150">_xlfn.IFS(J150&lt;&gt;"Valitse työvaihe",((SUMIF($H$102:$H$134,"kg",$G$102:$G$134)+Aputaulukko!$G$24)/1000)*VLOOKUP(J150,Päästökertoimet!$S$44:$W$56,5,FALSE),J150="Valitse työvaihe","")</f>
        <v/>
      </c>
      <c r="O150" s="138"/>
    </row>
    <row r="151" spans="6:15" ht="14" thickBot="1" x14ac:dyDescent="0.3">
      <c r="F151" s="162" t="s">
        <v>51</v>
      </c>
      <c r="G151" s="163"/>
      <c r="H151" s="164" t="s">
        <v>52</v>
      </c>
      <c r="J151" s="165" t="s">
        <v>46</v>
      </c>
      <c r="M151" s="137" t="str" cm="1">
        <f t="array" ref="M151">_xlfn.IFS(H151="h",G151*VLOOKUP(F151,Päästökertoimet!$S$5:$W$31,2,FALSE),H151="l",G151*VLOOKUP(F151,Päästökertoimet!$S$5:$W$31,4,FALSE),F151="Valitse työkone","")</f>
        <v/>
      </c>
      <c r="N151" s="139" t="str" cm="1">
        <f t="array" ref="N151">_xlfn.IFS(J151&lt;&gt;"Valitse työvaihe",((SUMIF($H$102:$H$134,"kg",$G$102:$G$134)+Aputaulukko!$G$24)/1000)*VLOOKUP(J151,Päästökertoimet!$S$44:$W$56,5,FALSE),J151="Valitse työvaihe","")</f>
        <v/>
      </c>
      <c r="O151" s="138"/>
    </row>
    <row r="152" spans="6:15" ht="14" thickBot="1" x14ac:dyDescent="0.3">
      <c r="F152" s="162" t="s">
        <v>51</v>
      </c>
      <c r="G152" s="163"/>
      <c r="H152" s="164" t="s">
        <v>52</v>
      </c>
      <c r="J152" s="165" t="s">
        <v>46</v>
      </c>
      <c r="M152" s="137" t="str" cm="1">
        <f t="array" ref="M152">_xlfn.IFS(H152="h",G152*VLOOKUP(F152,Päästökertoimet!$S$5:$W$31,2,FALSE),H152="l",G152*VLOOKUP(F152,Päästökertoimet!$S$5:$W$31,4,FALSE),F152="Valitse työkone","")</f>
        <v/>
      </c>
      <c r="N152" s="139" t="str" cm="1">
        <f t="array" ref="N152">_xlfn.IFS(J152&lt;&gt;"Valitse työvaihe",((SUMIF($H$102:$H$134,"kg",$G$102:$G$134)+Aputaulukko!$G$24)/1000)*VLOOKUP(J152,Päästökertoimet!$S$44:$W$56,5,FALSE),J152="Valitse työvaihe","")</f>
        <v/>
      </c>
      <c r="O152" s="138"/>
    </row>
    <row r="153" spans="6:15" ht="14" thickBot="1" x14ac:dyDescent="0.3">
      <c r="F153" s="162" t="s">
        <v>51</v>
      </c>
      <c r="G153" s="163"/>
      <c r="H153" s="164" t="s">
        <v>52</v>
      </c>
      <c r="J153" s="165" t="s">
        <v>46</v>
      </c>
      <c r="M153" s="137" t="str" cm="1">
        <f t="array" ref="M153">_xlfn.IFS(H153="h",G153*VLOOKUP(F153,Päästökertoimet!$S$5:$W$31,2,FALSE),H153="l",G153*VLOOKUP(F153,Päästökertoimet!$S$5:$W$31,4,FALSE),F153="Valitse työkone","")</f>
        <v/>
      </c>
      <c r="N153" s="139" t="str" cm="1">
        <f t="array" ref="N153">_xlfn.IFS(J153&lt;&gt;"Valitse työvaihe",((SUMIF($H$102:$H$134,"kg",$G$102:$G$134)+Aputaulukko!$G$24)/1000)*VLOOKUP(J153,Päästökertoimet!$S$44:$W$56,5,FALSE),J153="Valitse työvaihe","")</f>
        <v/>
      </c>
      <c r="O153" s="138"/>
    </row>
    <row r="154" spans="6:15" ht="14" thickBot="1" x14ac:dyDescent="0.3">
      <c r="F154" s="162" t="s">
        <v>51</v>
      </c>
      <c r="G154" s="163"/>
      <c r="H154" s="164" t="s">
        <v>52</v>
      </c>
      <c r="M154" s="137" t="str" cm="1">
        <f t="array" ref="M154">_xlfn.IFS(H154="h",G154*VLOOKUP(F154,Päästökertoimet!$S$5:$W$31,2,FALSE),H154="l",G154*VLOOKUP(F154,Päästökertoimet!$S$5:$W$31,4,FALSE),F154="Valitse työkone","")</f>
        <v/>
      </c>
      <c r="N154" s="139"/>
      <c r="O154" s="138"/>
    </row>
    <row r="155" spans="6:15" ht="14" thickBot="1" x14ac:dyDescent="0.3">
      <c r="F155" s="162" t="s">
        <v>51</v>
      </c>
      <c r="G155" s="163"/>
      <c r="H155" s="164" t="s">
        <v>52</v>
      </c>
      <c r="M155" s="137" t="str" cm="1">
        <f t="array" ref="M155">_xlfn.IFS(H155="h",G155*VLOOKUP(F155,Päästökertoimet!$S$5:$W$31,2,FALSE),H155="l",G155*VLOOKUP(F155,Päästökertoimet!$S$5:$W$31,4,FALSE),F155="Valitse työkone","")</f>
        <v/>
      </c>
      <c r="N155" s="139"/>
      <c r="O155" s="138"/>
    </row>
    <row r="156" spans="6:15" ht="14" thickBot="1" x14ac:dyDescent="0.3">
      <c r="F156" s="162" t="s">
        <v>51</v>
      </c>
      <c r="G156" s="163"/>
      <c r="H156" s="164" t="s">
        <v>52</v>
      </c>
      <c r="J156" s="17" t="s">
        <v>53</v>
      </c>
      <c r="M156" s="137" t="str" cm="1">
        <f t="array" ref="M156">_xlfn.IFS(H156="h",G156*VLOOKUP(F156,Päästökertoimet!$S$5:$W$31,2,FALSE),H156="l",G156*VLOOKUP(F156,Päästökertoimet!$S$5:$W$31,4,FALSE),F156="Valitse työkone","")</f>
        <v/>
      </c>
      <c r="N156" s="139"/>
      <c r="O156" s="138"/>
    </row>
    <row r="157" spans="6:15" ht="14" thickBot="1" x14ac:dyDescent="0.3">
      <c r="F157" s="162" t="s">
        <v>51</v>
      </c>
      <c r="G157" s="163"/>
      <c r="H157" s="164" t="s">
        <v>52</v>
      </c>
      <c r="J157" s="33" t="s">
        <v>54</v>
      </c>
      <c r="K157" s="163"/>
      <c r="L157" s="1" t="s">
        <v>55</v>
      </c>
      <c r="M157" s="137" t="str" cm="1">
        <f t="array" ref="M157">_xlfn.IFS(H157="h",G157*VLOOKUP(F157,Päästökertoimet!$S$5:$W$31,2,FALSE),H157="l",G157*VLOOKUP(F157,Päästökertoimet!$S$5:$W$31,4,FALSE),F157="Valitse työkone","")</f>
        <v/>
      </c>
      <c r="N157" s="139"/>
      <c r="O157" s="138" t="str" cm="1">
        <f t="array" ref="O157">_xlfn.IFS(K157&lt;&gt;"",Päästökertoimet!T37*K157,K157="","")</f>
        <v/>
      </c>
    </row>
    <row r="158" spans="6:15" ht="14" thickBot="1" x14ac:dyDescent="0.3">
      <c r="F158" s="162" t="s">
        <v>51</v>
      </c>
      <c r="G158" s="163"/>
      <c r="H158" s="164" t="s">
        <v>52</v>
      </c>
      <c r="J158" s="33" t="s">
        <v>56</v>
      </c>
      <c r="K158" s="163"/>
      <c r="L158" s="1" t="s">
        <v>55</v>
      </c>
      <c r="M158" s="137" t="str" cm="1">
        <f t="array" ref="M158">_xlfn.IFS(H158="h",G158*VLOOKUP(F158,Päästökertoimet!$S$5:$W$31,2,FALSE),H158="l",G158*VLOOKUP(F158,Päästökertoimet!$S$5:$W$31,4,FALSE),F158="Valitse työkone","")</f>
        <v/>
      </c>
      <c r="N158" s="139"/>
      <c r="O158" s="138" t="str" cm="1">
        <f t="array" ref="O158">_xlfn.IFS(K158&lt;&gt;"",Päästökertoimet!T38*K158,K158="","")</f>
        <v/>
      </c>
    </row>
    <row r="159" spans="6:15" ht="14" thickBot="1" x14ac:dyDescent="0.3">
      <c r="F159" s="162" t="s">
        <v>51</v>
      </c>
      <c r="G159" s="163"/>
      <c r="H159" s="164" t="s">
        <v>52</v>
      </c>
      <c r="J159" s="33" t="s">
        <v>57</v>
      </c>
      <c r="K159" s="163"/>
      <c r="L159" s="1" t="s">
        <v>55</v>
      </c>
      <c r="M159" s="137" t="str" cm="1">
        <f t="array" ref="M159">_xlfn.IFS(H159="h",G159*VLOOKUP(F159,Päästökertoimet!$S$5:$W$31,2,FALSE),H159="l",G159*VLOOKUP(F159,Päästökertoimet!$S$5:$W$31,4,FALSE),F159="Valitse työkone","")</f>
        <v/>
      </c>
      <c r="N159" s="139"/>
      <c r="O159" s="138" t="str" cm="1">
        <f t="array" ref="O159">_xlfn.IFS(K159&lt;&gt;"",Päästökertoimet!T39*K159,K159="","")</f>
        <v/>
      </c>
    </row>
    <row r="160" spans="6:15" ht="14" thickBot="1" x14ac:dyDescent="0.3">
      <c r="F160" s="162" t="s">
        <v>51</v>
      </c>
      <c r="G160" s="163"/>
      <c r="H160" s="164" t="s">
        <v>52</v>
      </c>
      <c r="J160" s="33"/>
      <c r="M160" s="137" t="str" cm="1">
        <f t="array" ref="M160">_xlfn.IFS(H160="h",G160*VLOOKUP(F160,Päästökertoimet!$S$5:$W$31,2,FALSE),H160="l",G160*VLOOKUP(F160,Päästökertoimet!$S$5:$W$31,4,FALSE),F160="Valitse työkone","")</f>
        <v/>
      </c>
      <c r="N160" s="139"/>
      <c r="O160" s="138"/>
    </row>
    <row r="161" spans="6:15" ht="14" thickBot="1" x14ac:dyDescent="0.3">
      <c r="F161" s="162" t="s">
        <v>51</v>
      </c>
      <c r="G161" s="163"/>
      <c r="H161" s="164" t="s">
        <v>52</v>
      </c>
      <c r="J161" s="33"/>
      <c r="M161" s="137" t="str" cm="1">
        <f t="array" ref="M161">_xlfn.IFS(H161="h",G161*VLOOKUP(F161,Päästökertoimet!$S$5:$W$31,2,FALSE),H161="l",G161*VLOOKUP(F161,Päästökertoimet!$S$5:$W$31,4,FALSE),F161="Valitse työkone","")</f>
        <v/>
      </c>
      <c r="N161" s="139"/>
      <c r="O161" s="138"/>
    </row>
    <row r="162" spans="6:15" ht="14" thickBot="1" x14ac:dyDescent="0.3">
      <c r="F162" s="162" t="s">
        <v>51</v>
      </c>
      <c r="G162" s="163"/>
      <c r="H162" s="164" t="s">
        <v>52</v>
      </c>
      <c r="J162" s="33"/>
      <c r="M162" s="137" t="str" cm="1">
        <f t="array" ref="M162">_xlfn.IFS(H162="h",G162*VLOOKUP(F162,Päästökertoimet!$S$5:$W$31,2,FALSE),H162="l",G162*VLOOKUP(F162,Päästökertoimet!$S$5:$W$31,4,FALSE),F162="Valitse työkone","")</f>
        <v/>
      </c>
      <c r="N162" s="139"/>
      <c r="O162" s="138"/>
    </row>
    <row r="163" spans="6:15" ht="14" thickBot="1" x14ac:dyDescent="0.3">
      <c r="F163" s="162" t="s">
        <v>51</v>
      </c>
      <c r="G163" s="163"/>
      <c r="H163" s="164" t="s">
        <v>52</v>
      </c>
      <c r="J163" s="33"/>
      <c r="M163" s="137" t="str" cm="1">
        <f t="array" ref="M163">_xlfn.IFS(H163="h",G163*VLOOKUP(F163,Päästökertoimet!$S$5:$W$31,2,FALSE),H163="l",G163*VLOOKUP(F163,Päästökertoimet!$S$5:$W$31,4,FALSE),F163="Valitse työkone","")</f>
        <v/>
      </c>
      <c r="N163" s="139"/>
      <c r="O163" s="138"/>
    </row>
    <row r="164" spans="6:15" ht="14" thickBot="1" x14ac:dyDescent="0.3">
      <c r="F164" s="162" t="s">
        <v>51</v>
      </c>
      <c r="G164" s="163"/>
      <c r="H164" s="164" t="s">
        <v>52</v>
      </c>
      <c r="J164" s="33"/>
      <c r="M164" s="137" t="str" cm="1">
        <f t="array" ref="M164">_xlfn.IFS(H164="h",G164*VLOOKUP(F164,Päästökertoimet!$S$5:$W$31,2,FALSE),H164="l",G164*VLOOKUP(F164,Päästökertoimet!$S$5:$W$31,4,FALSE),F164="Valitse työkone","")</f>
        <v/>
      </c>
      <c r="N164" s="139"/>
      <c r="O164" s="138"/>
    </row>
    <row r="165" spans="6:15" ht="14" thickBot="1" x14ac:dyDescent="0.3">
      <c r="F165" s="162" t="s">
        <v>51</v>
      </c>
      <c r="G165" s="163"/>
      <c r="H165" s="164" t="s">
        <v>52</v>
      </c>
      <c r="J165" s="33"/>
      <c r="M165" s="137" t="str" cm="1">
        <f t="array" ref="M165">_xlfn.IFS(H165="h",G165*VLOOKUP(F165,Päästökertoimet!$S$5:$W$31,2,FALSE),H165="l",G165*VLOOKUP(F165,Päästökertoimet!$S$5:$W$31,4,FALSE),F165="Valitse työkone","")</f>
        <v/>
      </c>
      <c r="N165" s="139"/>
      <c r="O165" s="138"/>
    </row>
    <row r="166" spans="6:15" ht="14" thickBot="1" x14ac:dyDescent="0.3">
      <c r="F166" s="162" t="s">
        <v>51</v>
      </c>
      <c r="G166" s="163"/>
      <c r="H166" s="164" t="s">
        <v>52</v>
      </c>
      <c r="J166" s="33"/>
      <c r="M166" s="137" t="str" cm="1">
        <f t="array" ref="M166">_xlfn.IFS(H166="h",G166*VLOOKUP(F166,Päästökertoimet!$S$5:$W$31,2,FALSE),H166="l",G166*VLOOKUP(F166,Päästökertoimet!$S$5:$W$31,4,FALSE),F166="Valitse työkone","")</f>
        <v/>
      </c>
      <c r="N166" s="139"/>
      <c r="O166" s="138"/>
    </row>
    <row r="167" spans="6:15" x14ac:dyDescent="0.25">
      <c r="F167" s="8"/>
      <c r="M167" s="27"/>
      <c r="N167" s="55"/>
      <c r="O167" s="56"/>
    </row>
    <row r="168" spans="6:15" ht="19.5" x14ac:dyDescent="0.35">
      <c r="F168" s="96" t="s">
        <v>58</v>
      </c>
      <c r="M168" s="25" t="s">
        <v>433</v>
      </c>
      <c r="N168" s="53"/>
      <c r="O168" s="54"/>
    </row>
    <row r="169" spans="6:15" ht="27.5" thickBot="1" x14ac:dyDescent="0.3">
      <c r="F169" s="6" t="s">
        <v>59</v>
      </c>
      <c r="G169" s="17" t="s">
        <v>60</v>
      </c>
      <c r="J169" s="17" t="s">
        <v>61</v>
      </c>
      <c r="K169" s="24" t="s">
        <v>62</v>
      </c>
      <c r="M169" s="26" t="s">
        <v>63</v>
      </c>
      <c r="N169" s="225" t="s">
        <v>64</v>
      </c>
      <c r="O169" s="56"/>
    </row>
    <row r="170" spans="6:15" ht="14" thickBot="1" x14ac:dyDescent="0.3">
      <c r="F170" s="8" t="str">
        <f>Päästökertoimet!AA5</f>
        <v>Energiajäte</v>
      </c>
      <c r="G170" s="166"/>
      <c r="H170" s="1" t="s">
        <v>29</v>
      </c>
      <c r="J170" s="171" t="s">
        <v>346</v>
      </c>
      <c r="K170" s="166"/>
      <c r="L170" s="1" t="s">
        <v>65</v>
      </c>
      <c r="M170" s="137" t="str" cm="1">
        <f t="array" ref="M170">_xlfn.IFS(G170&lt;&gt;"",G170*Päästökertoimet!AB5,G170="","")</f>
        <v/>
      </c>
      <c r="N170" s="139" t="str" cm="1">
        <f t="array" ref="N170">_xlfn.IFS(K170="","",K170&lt;&gt;"",VLOOKUP(J170,Päästökertoimet!$M$5:$N$29,2,FALSE)*Laskentasivu!G170/1000*Laskentasivu!K170)</f>
        <v/>
      </c>
      <c r="O170" s="138"/>
    </row>
    <row r="171" spans="6:15" ht="14" thickBot="1" x14ac:dyDescent="0.3">
      <c r="F171" s="8" t="str">
        <f>Päästökertoimet!AA6</f>
        <v>Rakennusjäte</v>
      </c>
      <c r="G171" s="166"/>
      <c r="H171" s="1" t="s">
        <v>29</v>
      </c>
      <c r="J171" s="171" t="s">
        <v>346</v>
      </c>
      <c r="K171" s="166"/>
      <c r="L171" s="1" t="s">
        <v>65</v>
      </c>
      <c r="M171" s="137" t="str" cm="1">
        <f t="array" ref="M171">_xlfn.IFS(G171&lt;&gt;"",G171*Päästökertoimet!AB6,G171="","")</f>
        <v/>
      </c>
      <c r="N171" s="139" t="str" cm="1">
        <f t="array" ref="N171">_xlfn.IFS(K171="","",K171&lt;&gt;"",VLOOKUP(J171,Päästökertoimet!$M$5:$N$29,2,FALSE)*Laskentasivu!G171/1000*Laskentasivu!K171)</f>
        <v/>
      </c>
      <c r="O171" s="138"/>
    </row>
    <row r="172" spans="6:15" ht="14" thickBot="1" x14ac:dyDescent="0.3">
      <c r="F172" s="8" t="str">
        <f>Päästökertoimet!AA7</f>
        <v>Metalli</v>
      </c>
      <c r="G172" s="166"/>
      <c r="H172" s="1" t="s">
        <v>29</v>
      </c>
      <c r="J172" s="171" t="s">
        <v>346</v>
      </c>
      <c r="K172" s="166"/>
      <c r="L172" s="1" t="s">
        <v>65</v>
      </c>
      <c r="M172" s="137" t="str" cm="1">
        <f t="array" ref="M172">_xlfn.IFS(G172&lt;&gt;"",G172*Päästökertoimet!AB7,G172="","")</f>
        <v/>
      </c>
      <c r="N172" s="139" t="str" cm="1">
        <f t="array" ref="N172">_xlfn.IFS(K172="","",K172&lt;&gt;"",VLOOKUP(J172,Päästökertoimet!$M$5:$N$29,2,FALSE)*Laskentasivu!G172/1000*Laskentasivu!K172)</f>
        <v/>
      </c>
      <c r="O172" s="138"/>
    </row>
    <row r="173" spans="6:15" ht="14" thickBot="1" x14ac:dyDescent="0.3">
      <c r="F173" s="8" t="str">
        <f>Päästökertoimet!AA8</f>
        <v>Kartonki/pahvi</v>
      </c>
      <c r="G173" s="166"/>
      <c r="H173" s="1" t="s">
        <v>29</v>
      </c>
      <c r="J173" s="171" t="s">
        <v>346</v>
      </c>
      <c r="K173" s="166"/>
      <c r="L173" s="1" t="s">
        <v>65</v>
      </c>
      <c r="M173" s="137" t="str" cm="1">
        <f t="array" ref="M173">_xlfn.IFS(G173&lt;&gt;"",G173*Päästökertoimet!AB8,G173="","")</f>
        <v/>
      </c>
      <c r="N173" s="139" t="str" cm="1">
        <f t="array" ref="N173">_xlfn.IFS(K173="","",K173&lt;&gt;"",VLOOKUP(J173,Päästökertoimet!$M$5:$N$29,2,FALSE)*Laskentasivu!G173/1000*Laskentasivu!K173)</f>
        <v/>
      </c>
      <c r="O173" s="138"/>
    </row>
    <row r="174" spans="6:15" ht="14" thickBot="1" x14ac:dyDescent="0.3">
      <c r="F174" s="8" t="str">
        <f>Päästökertoimet!AA9</f>
        <v>Lasi</v>
      </c>
      <c r="G174" s="166"/>
      <c r="H174" s="1" t="s">
        <v>29</v>
      </c>
      <c r="J174" s="171" t="s">
        <v>346</v>
      </c>
      <c r="K174" s="166"/>
      <c r="L174" s="1" t="s">
        <v>65</v>
      </c>
      <c r="M174" s="137" t="str" cm="1">
        <f t="array" ref="M174">_xlfn.IFS(G174&lt;&gt;"",G174*Päästökertoimet!AB9,G174="","")</f>
        <v/>
      </c>
      <c r="N174" s="139" t="str" cm="1">
        <f t="array" ref="N174">_xlfn.IFS(K174="","",K174&lt;&gt;"",VLOOKUP(J174,Päästökertoimet!$M$5:$N$29,2,FALSE)*Laskentasivu!G174/1000*Laskentasivu!K174)</f>
        <v/>
      </c>
      <c r="O174" s="138"/>
    </row>
    <row r="175" spans="6:15" ht="14" thickBot="1" x14ac:dyDescent="0.3">
      <c r="F175" s="8" t="str">
        <f>Päästökertoimet!AA10</f>
        <v>Muovi</v>
      </c>
      <c r="G175" s="166"/>
      <c r="H175" s="1" t="s">
        <v>29</v>
      </c>
      <c r="J175" s="171" t="s">
        <v>346</v>
      </c>
      <c r="K175" s="166"/>
      <c r="L175" s="1" t="s">
        <v>65</v>
      </c>
      <c r="M175" s="137" t="str" cm="1">
        <f t="array" ref="M175">_xlfn.IFS(G175&lt;&gt;"",G175*Päästökertoimet!AB10,G175="","")</f>
        <v/>
      </c>
      <c r="N175" s="139" t="str" cm="1">
        <f t="array" ref="N175">_xlfn.IFS(K175="","",K175&lt;&gt;"",VLOOKUP(J175,Päästökertoimet!$M$5:$N$29,2,FALSE)*Laskentasivu!G175/1000*Laskentasivu!K175)</f>
        <v/>
      </c>
      <c r="O175" s="138"/>
    </row>
    <row r="176" spans="6:15" ht="14" thickBot="1" x14ac:dyDescent="0.3">
      <c r="F176" s="8" t="str">
        <f>Päästökertoimet!AA11</f>
        <v>Puu</v>
      </c>
      <c r="G176" s="166"/>
      <c r="H176" s="1" t="s">
        <v>29</v>
      </c>
      <c r="J176" s="171" t="s">
        <v>346</v>
      </c>
      <c r="K176" s="166"/>
      <c r="L176" s="1" t="s">
        <v>65</v>
      </c>
      <c r="M176" s="137" t="str" cm="1">
        <f t="array" ref="M176">_xlfn.IFS(G176&lt;&gt;"",G176*Päästökertoimet!AB11,G176="","")</f>
        <v/>
      </c>
      <c r="N176" s="139" t="str" cm="1">
        <f t="array" ref="N176">_xlfn.IFS(K176="","",K176&lt;&gt;"",VLOOKUP(J176,Päästökertoimet!$M$5:$N$29,2,FALSE)*Laskentasivu!G176/1000*Laskentasivu!K176)</f>
        <v/>
      </c>
      <c r="O176" s="138"/>
    </row>
    <row r="177" spans="6:15" ht="14" thickBot="1" x14ac:dyDescent="0.3">
      <c r="F177" s="8" t="str">
        <f>Päästökertoimet!AA12</f>
        <v>Vaarallinen jäte</v>
      </c>
      <c r="G177" s="166"/>
      <c r="H177" s="1" t="s">
        <v>29</v>
      </c>
      <c r="J177" s="171" t="s">
        <v>346</v>
      </c>
      <c r="K177" s="166"/>
      <c r="L177" s="1" t="s">
        <v>65</v>
      </c>
      <c r="M177" s="137" t="str" cm="1">
        <f t="array" ref="M177">_xlfn.IFS(G177&lt;&gt;"",G177*Päästökertoimet!AB12,G177="","")</f>
        <v/>
      </c>
      <c r="N177" s="139" t="str" cm="1">
        <f t="array" ref="N177">_xlfn.IFS(K177="","",K177&lt;&gt;"",VLOOKUP(J177,Päästökertoimet!$M$5:$N$29,2,FALSE)*Laskentasivu!G177/1000*Laskentasivu!K177)</f>
        <v/>
      </c>
      <c r="O177" s="138"/>
    </row>
    <row r="178" spans="6:15" ht="14" thickBot="1" x14ac:dyDescent="0.3">
      <c r="F178" s="8" t="str">
        <f>Päästökertoimet!AA13</f>
        <v>Sekajäte (poltto)</v>
      </c>
      <c r="G178" s="166"/>
      <c r="H178" s="1" t="s">
        <v>29</v>
      </c>
      <c r="J178" s="171" t="s">
        <v>346</v>
      </c>
      <c r="K178" s="166"/>
      <c r="L178" s="1" t="s">
        <v>65</v>
      </c>
      <c r="M178" s="137" t="str" cm="1">
        <f t="array" ref="M178">_xlfn.IFS(G178&lt;&gt;"",G178*Päästökertoimet!AB13,G178="","")</f>
        <v/>
      </c>
      <c r="N178" s="139" t="str" cm="1">
        <f t="array" ref="N178">_xlfn.IFS(K178="","",K178&lt;&gt;"",VLOOKUP(J178,Päästökertoimet!$M$5:$N$29,2,FALSE)*Laskentasivu!G178/1000*Laskentasivu!K178)</f>
        <v/>
      </c>
      <c r="O178" s="138"/>
    </row>
    <row r="179" spans="6:15" ht="14" thickBot="1" x14ac:dyDescent="0.3">
      <c r="F179" s="8" t="str">
        <f>Päästökertoimet!AA14</f>
        <v>Biojäte</v>
      </c>
      <c r="G179" s="166"/>
      <c r="H179" s="1" t="s">
        <v>29</v>
      </c>
      <c r="J179" s="171" t="s">
        <v>346</v>
      </c>
      <c r="K179" s="166"/>
      <c r="L179" s="1" t="s">
        <v>65</v>
      </c>
      <c r="M179" s="137" t="str" cm="1">
        <f t="array" ref="M179">_xlfn.IFS(G179&lt;&gt;"",G179*Päästökertoimet!AB14,G179="","")</f>
        <v/>
      </c>
      <c r="N179" s="139" t="str" cm="1">
        <f t="array" ref="N179">_xlfn.IFS(K179="","",K179&lt;&gt;"",VLOOKUP(J179,Päästökertoimet!$M$5:$N$29,2,FALSE)*Laskentasivu!G179/1000*Laskentasivu!K179)</f>
        <v/>
      </c>
      <c r="O179" s="138"/>
    </row>
    <row r="180" spans="6:15" ht="14" thickBot="1" x14ac:dyDescent="0.3">
      <c r="F180" s="8" t="str">
        <f>Päästökertoimet!AA15</f>
        <v>Paperi</v>
      </c>
      <c r="G180" s="166"/>
      <c r="H180" s="1" t="s">
        <v>29</v>
      </c>
      <c r="J180" s="171" t="s">
        <v>346</v>
      </c>
      <c r="K180" s="166"/>
      <c r="L180" s="1" t="s">
        <v>65</v>
      </c>
      <c r="M180" s="137" t="str" cm="1">
        <f t="array" ref="M180">_xlfn.IFS(G180&lt;&gt;"",G180*Päästökertoimet!AB15,G180="","")</f>
        <v/>
      </c>
      <c r="N180" s="139" t="str" cm="1">
        <f t="array" ref="N180">_xlfn.IFS(K180="","",K180&lt;&gt;"",VLOOKUP(J180,Päästökertoimet!$M$5:$N$29,2,FALSE)*Laskentasivu!G180/1000*Laskentasivu!K180)</f>
        <v/>
      </c>
      <c r="O180" s="138"/>
    </row>
    <row r="181" spans="6:15" x14ac:dyDescent="0.25">
      <c r="F181" s="8"/>
      <c r="M181" s="137"/>
      <c r="N181" s="139"/>
      <c r="O181" s="138"/>
    </row>
    <row r="182" spans="6:15" x14ac:dyDescent="0.25">
      <c r="F182" s="8"/>
      <c r="M182" s="27"/>
      <c r="N182" s="55"/>
      <c r="O182" s="56"/>
    </row>
    <row r="183" spans="6:15" x14ac:dyDescent="0.25">
      <c r="F183" s="9"/>
      <c r="G183" s="10"/>
      <c r="H183" s="10"/>
      <c r="I183" s="10"/>
      <c r="J183" s="10"/>
      <c r="K183" s="10"/>
      <c r="L183" s="10"/>
      <c r="M183" s="38"/>
      <c r="N183" s="57"/>
      <c r="O183" s="52"/>
    </row>
    <row r="185" spans="6:15" ht="52.5" x14ac:dyDescent="0.35">
      <c r="H185" s="332" t="s">
        <v>85</v>
      </c>
      <c r="I185" s="333"/>
      <c r="J185" s="200" t="s">
        <v>69</v>
      </c>
      <c r="K185" s="134">
        <f>SUM(N102:N134)</f>
        <v>0</v>
      </c>
      <c r="L185" s="39" t="s">
        <v>70</v>
      </c>
      <c r="M185" s="206" t="s">
        <v>71</v>
      </c>
      <c r="N185" s="144">
        <f>SUM(N102:N117)</f>
        <v>0</v>
      </c>
      <c r="O185" s="41" t="s">
        <v>70</v>
      </c>
    </row>
    <row r="186" spans="6:15" ht="35" x14ac:dyDescent="0.35">
      <c r="H186" s="334"/>
      <c r="I186" s="335"/>
      <c r="J186" s="201" t="s">
        <v>74</v>
      </c>
      <c r="K186" s="135">
        <f>SUM(O102:O134)</f>
        <v>0</v>
      </c>
      <c r="L186" s="42" t="s">
        <v>70</v>
      </c>
      <c r="M186" s="207" t="s">
        <v>75</v>
      </c>
      <c r="N186" s="208">
        <f>SUM(N119:N134)</f>
        <v>0</v>
      </c>
      <c r="O186" s="209" t="s">
        <v>70</v>
      </c>
    </row>
    <row r="187" spans="6:15" ht="17.5" x14ac:dyDescent="0.35">
      <c r="G187" s="229"/>
      <c r="H187" s="334"/>
      <c r="I187" s="335"/>
      <c r="J187" s="202" t="s">
        <v>77</v>
      </c>
      <c r="K187" s="145">
        <f>SUM(M138:O167)</f>
        <v>0</v>
      </c>
      <c r="L187" s="40" t="s">
        <v>70</v>
      </c>
    </row>
    <row r="188" spans="6:15" ht="17.5" x14ac:dyDescent="0.35">
      <c r="H188" s="334"/>
      <c r="I188" s="335"/>
      <c r="J188" s="203" t="s">
        <v>63</v>
      </c>
      <c r="K188" s="135">
        <f>SUM(M170:N180)</f>
        <v>0</v>
      </c>
      <c r="L188" s="42" t="s">
        <v>70</v>
      </c>
      <c r="M188" s="43"/>
      <c r="N188" s="43"/>
      <c r="O188" s="43"/>
    </row>
    <row r="189" spans="6:15" ht="17.5" x14ac:dyDescent="0.35">
      <c r="H189" s="334"/>
      <c r="I189" s="335"/>
      <c r="J189" s="204" t="s">
        <v>79</v>
      </c>
      <c r="K189" s="146">
        <f>SUM(K185:K188)</f>
        <v>0</v>
      </c>
      <c r="L189" s="47" t="s">
        <v>70</v>
      </c>
      <c r="M189" s="43"/>
      <c r="N189" s="43"/>
      <c r="O189" s="43"/>
    </row>
    <row r="190" spans="6:15" ht="17.5" x14ac:dyDescent="0.35">
      <c r="H190" s="336"/>
      <c r="I190" s="337"/>
      <c r="J190" s="205" t="s">
        <v>80</v>
      </c>
      <c r="K190" s="147">
        <f>K189/1000</f>
        <v>0</v>
      </c>
      <c r="L190" s="48" t="s">
        <v>81</v>
      </c>
    </row>
  </sheetData>
  <sheetProtection algorithmName="SHA-512" hashValue="rga0ABdZgyA24OTwHXJE7UgUrdvND1/MQnRR4vsGJFGE9rXR8KAGvyiRnp4mg/pojI1l6nKnzXAPmEzDiXgyDA==" saltValue="vI+mQJu561KyHdQxWFoTYw==" spinCount="100000" sheet="1" objects="1" scenarios="1"/>
  <mergeCells count="10">
    <mergeCell ref="H2:I2"/>
    <mergeCell ref="H98:I98"/>
    <mergeCell ref="H185:I190"/>
    <mergeCell ref="H89:I94"/>
    <mergeCell ref="AC41:AE41"/>
    <mergeCell ref="AC42:AE42"/>
    <mergeCell ref="AC43:AE43"/>
    <mergeCell ref="AC137:AE137"/>
    <mergeCell ref="AC138:AE138"/>
    <mergeCell ref="AC139:AE139"/>
  </mergeCells>
  <phoneticPr fontId="2" type="noConversion"/>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FFA8BFF6-3092-4E9F-835E-2B0D55A24806}">
          <x14:formula1>
            <xm:f>Aputaulukko!$B$10:$B$12</xm:f>
          </x14:formula1>
          <xm:sqref>H6:H21 H23:H38 H102:H117 H119:H134</xm:sqref>
        </x14:dataValidation>
        <x14:dataValidation type="list" allowBlank="1" showInputMessage="1" showErrorMessage="1" xr:uid="{54C4B9EF-C2D8-436F-A3D5-570633BB374F}">
          <x14:formula1>
            <xm:f>Aputaulukko!$D$10:$D$12</xm:f>
          </x14:formula1>
          <xm:sqref>H51:H70 H147:H166</xm:sqref>
        </x14:dataValidation>
        <x14:dataValidation type="list" allowBlank="1" showInputMessage="1" showErrorMessage="1" xr:uid="{10AB8678-5186-4A45-AA23-EDAE2432FDD4}">
          <x14:formula1>
            <xm:f>Päästökertoimet!$S$5:$S$31</xm:f>
          </x14:formula1>
          <xm:sqref>F51:F70 F147:F166</xm:sqref>
        </x14:dataValidation>
        <x14:dataValidation type="list" allowBlank="1" showInputMessage="1" showErrorMessage="1" xr:uid="{A94073B2-6138-41AB-AE93-5BE243EAFC07}">
          <x14:formula1>
            <xm:f>Aputaulukko!$L$9:$L$16</xm:f>
          </x14:formula1>
          <xm:sqref>J51:J57 J147:J153</xm:sqref>
        </x14:dataValidation>
        <x14:dataValidation type="list" allowBlank="1" showInputMessage="1" showErrorMessage="1" xr:uid="{572973ED-06DA-4350-AE03-CBE8E6A09C99}">
          <x14:formula1>
            <xm:f>Päästökertoimet!$C$35:$C$59</xm:f>
          </x14:formula1>
          <xm:sqref>F102:F117 F6:F21</xm:sqref>
        </x14:dataValidation>
        <x14:dataValidation type="list" allowBlank="1" showInputMessage="1" showErrorMessage="1" xr:uid="{43374E34-EF2F-40F9-A5E4-5387E7EDFF12}">
          <x14:formula1>
            <xm:f>Päästökertoimet!$C$5:$C$34</xm:f>
          </x14:formula1>
          <xm:sqref>F23:F38 F119:F134</xm:sqref>
        </x14:dataValidation>
        <x14:dataValidation type="list" allowBlank="1" showInputMessage="1" showErrorMessage="1" xr:uid="{C478F376-310B-4B9A-8F5D-39265B8A206A}">
          <x14:formula1>
            <xm:f>Aputaulukko!$P$10:$P$15</xm:f>
          </x14:formula1>
          <xm:sqref>Z6:Z21 Z23:Z38 Z102:Z117 Z119:Z134</xm:sqref>
        </x14:dataValidation>
        <x14:dataValidation type="list" allowBlank="1" showInputMessage="1" showErrorMessage="1" xr:uid="{2B4256F1-55BE-4E03-9FEA-E156573E30EF}">
          <x14:formula1>
            <xm:f>Päästökertoimet!$M$5:$M$29</xm:f>
          </x14:formula1>
          <xm:sqref>J170:J180 J119:J134 J102:J117 J6:J21 J74:J84 J23:J38</xm:sqref>
        </x14:dataValidation>
        <x14:dataValidation type="list" allowBlank="1" showInputMessage="1" showErrorMessage="1" xr:uid="{3874951D-B4C0-46FC-8469-5FA39140F4C7}">
          <x14:formula1>
            <xm:f>Aputaulukko!$N$10:$N$15</xm:f>
          </x14:formula1>
          <xm:sqref>X6:X21 X23:X38 X102:X117 X119:X134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BF0B6-AD5E-4A55-8DB5-E294A3C361B7}">
  <sheetPr>
    <tabColor theme="6" tint="0.39997558519241921"/>
  </sheetPr>
  <dimension ref="B2:L84"/>
  <sheetViews>
    <sheetView zoomScale="90" zoomScaleNormal="90" workbookViewId="0">
      <selection activeCell="N56" sqref="N56"/>
    </sheetView>
  </sheetViews>
  <sheetFormatPr defaultColWidth="9.0703125" defaultRowHeight="13.5" x14ac:dyDescent="0.25"/>
  <cols>
    <col min="1" max="1" width="9.0703125" style="1"/>
    <col min="2" max="2" width="10.7109375" style="1" customWidth="1"/>
    <col min="3" max="3" width="11.92578125" style="1" customWidth="1"/>
    <col min="4" max="4" width="12.42578125" style="1" customWidth="1"/>
    <col min="5" max="5" width="11.28515625" style="1" customWidth="1"/>
    <col min="6" max="6" width="12.5703125" style="1" customWidth="1"/>
    <col min="7" max="7" width="10.640625" style="1" customWidth="1"/>
    <col min="8" max="8" width="13" style="1" customWidth="1"/>
    <col min="9" max="9" width="13.2109375" style="1" customWidth="1"/>
    <col min="10" max="10" width="11.7109375" style="1" customWidth="1"/>
    <col min="11" max="11" width="12.0703125" style="1" bestFit="1" customWidth="1"/>
    <col min="12" max="13" width="10.2109375" style="1" bestFit="1" customWidth="1"/>
    <col min="14" max="17" width="9.0703125" style="1"/>
    <col min="18" max="18" width="3.92578125" style="1" customWidth="1"/>
    <col min="19" max="16384" width="9.0703125" style="1"/>
  </cols>
  <sheetData>
    <row r="2" spans="2:12" ht="19" thickBot="1" x14ac:dyDescent="0.4">
      <c r="B2" s="2" t="s">
        <v>363</v>
      </c>
      <c r="C2" s="2"/>
    </row>
    <row r="3" spans="2:12" ht="14" thickTop="1" x14ac:dyDescent="0.25"/>
    <row r="4" spans="2:12" ht="19.5" x14ac:dyDescent="0.35">
      <c r="B4" s="109"/>
      <c r="C4" s="211"/>
      <c r="D4" s="212" t="s">
        <v>263</v>
      </c>
      <c r="E4" s="109"/>
      <c r="F4" s="109"/>
      <c r="H4" s="109"/>
      <c r="I4" s="109"/>
      <c r="J4" s="212" t="s">
        <v>264</v>
      </c>
      <c r="K4" s="109"/>
      <c r="L4" s="109"/>
    </row>
    <row r="5" spans="2:12" x14ac:dyDescent="0.25">
      <c r="B5" s="109"/>
      <c r="C5" s="109"/>
      <c r="D5" s="109"/>
      <c r="E5" s="109"/>
      <c r="F5" s="109"/>
      <c r="H5" s="109"/>
      <c r="I5" s="109"/>
      <c r="J5" s="109"/>
      <c r="K5" s="109"/>
      <c r="L5" s="109"/>
    </row>
    <row r="6" spans="2:12" x14ac:dyDescent="0.25">
      <c r="B6" s="109"/>
      <c r="C6" s="101" t="s">
        <v>9</v>
      </c>
      <c r="D6" s="101" t="s">
        <v>81</v>
      </c>
      <c r="E6" s="101" t="s">
        <v>73</v>
      </c>
      <c r="F6" s="109"/>
      <c r="H6" s="109"/>
      <c r="I6" s="102" t="s">
        <v>81</v>
      </c>
      <c r="J6" s="102" t="s">
        <v>9</v>
      </c>
      <c r="K6" s="102" t="s">
        <v>82</v>
      </c>
      <c r="L6" s="109"/>
    </row>
    <row r="7" spans="2:12" x14ac:dyDescent="0.25">
      <c r="B7" s="109"/>
      <c r="C7" s="103" t="s">
        <v>265</v>
      </c>
      <c r="D7" s="148">
        <f>SUM(D8:D11)</f>
        <v>0</v>
      </c>
      <c r="E7" s="148">
        <f>SUM(E8:E10)</f>
        <v>0</v>
      </c>
      <c r="F7" s="109"/>
      <c r="H7" s="109"/>
      <c r="I7" s="103" t="s">
        <v>265</v>
      </c>
      <c r="J7" s="148">
        <f>D7</f>
        <v>0</v>
      </c>
      <c r="K7" s="148">
        <f>D14</f>
        <v>0</v>
      </c>
      <c r="L7" s="109"/>
    </row>
    <row r="8" spans="2:12" x14ac:dyDescent="0.25">
      <c r="B8" s="109"/>
      <c r="C8" s="103" t="s">
        <v>87</v>
      </c>
      <c r="D8" s="148">
        <f>Laskentasivu!K89/1000</f>
        <v>0</v>
      </c>
      <c r="E8" s="148">
        <f>Laskentasivu!AF41</f>
        <v>0</v>
      </c>
      <c r="F8" s="109"/>
      <c r="H8" s="109"/>
      <c r="I8" s="103" t="s">
        <v>87</v>
      </c>
      <c r="J8" s="148">
        <f>D8</f>
        <v>0</v>
      </c>
      <c r="K8" s="148">
        <f>D15</f>
        <v>0</v>
      </c>
      <c r="L8" s="109"/>
    </row>
    <row r="9" spans="2:12" x14ac:dyDescent="0.25">
      <c r="B9" s="109"/>
      <c r="C9" s="103" t="s">
        <v>93</v>
      </c>
      <c r="D9" s="148">
        <f>Laskentasivu!K90/1000</f>
        <v>0</v>
      </c>
      <c r="E9" s="148">
        <f>Laskentasivu!AF42</f>
        <v>0</v>
      </c>
      <c r="F9" s="109"/>
      <c r="H9" s="109"/>
      <c r="I9" s="103" t="s">
        <v>93</v>
      </c>
      <c r="J9" s="148">
        <f>D9</f>
        <v>0</v>
      </c>
      <c r="K9" s="148">
        <f>D16</f>
        <v>0</v>
      </c>
      <c r="L9" s="109"/>
    </row>
    <row r="10" spans="2:12" x14ac:dyDescent="0.25">
      <c r="B10" s="109"/>
      <c r="C10" s="103" t="s">
        <v>266</v>
      </c>
      <c r="D10" s="148">
        <f>Laskentasivu!K91/1000</f>
        <v>0</v>
      </c>
      <c r="E10" s="149"/>
      <c r="F10" s="109"/>
      <c r="H10" s="109"/>
      <c r="I10" s="103" t="s">
        <v>266</v>
      </c>
      <c r="J10" s="148">
        <f>D10</f>
        <v>0</v>
      </c>
      <c r="K10" s="148">
        <f>D17</f>
        <v>0</v>
      </c>
      <c r="L10" s="109"/>
    </row>
    <row r="11" spans="2:12" x14ac:dyDescent="0.25">
      <c r="B11" s="109"/>
      <c r="C11" s="103" t="s">
        <v>96</v>
      </c>
      <c r="D11" s="148">
        <f>Laskentasivu!K92/1000</f>
        <v>0</v>
      </c>
      <c r="E11" s="149"/>
      <c r="F11" s="109"/>
      <c r="H11" s="109"/>
      <c r="I11" s="103" t="s">
        <v>96</v>
      </c>
      <c r="J11" s="148">
        <f>D11</f>
        <v>0</v>
      </c>
      <c r="K11" s="148">
        <f>D18</f>
        <v>0</v>
      </c>
      <c r="L11" s="109"/>
    </row>
    <row r="12" spans="2:12" x14ac:dyDescent="0.25">
      <c r="B12" s="109"/>
      <c r="C12" s="109"/>
      <c r="D12" s="109"/>
      <c r="E12" s="109"/>
      <c r="F12" s="109"/>
      <c r="H12" s="109"/>
      <c r="I12" s="109"/>
      <c r="J12" s="109"/>
      <c r="K12" s="109"/>
      <c r="L12" s="109"/>
    </row>
    <row r="13" spans="2:12" x14ac:dyDescent="0.25">
      <c r="B13" s="109"/>
      <c r="C13" s="101" t="s">
        <v>82</v>
      </c>
      <c r="D13" s="101" t="s">
        <v>81</v>
      </c>
      <c r="E13" s="101" t="s">
        <v>73</v>
      </c>
      <c r="F13" s="109"/>
      <c r="H13" s="109"/>
      <c r="I13" s="102" t="s">
        <v>73</v>
      </c>
      <c r="J13" s="102" t="s">
        <v>9</v>
      </c>
      <c r="K13" s="102" t="s">
        <v>82</v>
      </c>
      <c r="L13" s="109"/>
    </row>
    <row r="14" spans="2:12" x14ac:dyDescent="0.25">
      <c r="B14" s="109"/>
      <c r="C14" s="103" t="s">
        <v>265</v>
      </c>
      <c r="D14" s="148">
        <f>SUM(D15:D18)</f>
        <v>0</v>
      </c>
      <c r="E14" s="148">
        <f>SUM(E15:E16)</f>
        <v>0</v>
      </c>
      <c r="F14" s="109"/>
      <c r="H14" s="109"/>
      <c r="I14" s="103" t="s">
        <v>265</v>
      </c>
      <c r="J14" s="148">
        <f>E7</f>
        <v>0</v>
      </c>
      <c r="K14" s="148">
        <f>E14</f>
        <v>0</v>
      </c>
      <c r="L14" s="109"/>
    </row>
    <row r="15" spans="2:12" x14ac:dyDescent="0.25">
      <c r="B15" s="109"/>
      <c r="C15" s="103" t="s">
        <v>87</v>
      </c>
      <c r="D15" s="148">
        <f>Laskentasivu!K185/1000</f>
        <v>0</v>
      </c>
      <c r="E15" s="148">
        <f>Laskentasivu!AF137</f>
        <v>0</v>
      </c>
      <c r="F15" s="109"/>
      <c r="H15" s="109"/>
      <c r="I15" s="103" t="s">
        <v>87</v>
      </c>
      <c r="J15" s="148">
        <f>E8</f>
        <v>0</v>
      </c>
      <c r="K15" s="148">
        <f>E15</f>
        <v>0</v>
      </c>
      <c r="L15" s="109"/>
    </row>
    <row r="16" spans="2:12" x14ac:dyDescent="0.25">
      <c r="B16" s="109"/>
      <c r="C16" s="103" t="s">
        <v>93</v>
      </c>
      <c r="D16" s="148">
        <f>Laskentasivu!K186/1000</f>
        <v>0</v>
      </c>
      <c r="E16" s="148">
        <f>Laskentasivu!AF138</f>
        <v>0</v>
      </c>
      <c r="F16" s="109"/>
      <c r="H16" s="109"/>
      <c r="I16" s="103" t="s">
        <v>93</v>
      </c>
      <c r="J16" s="148">
        <f>E9</f>
        <v>0</v>
      </c>
      <c r="K16" s="148">
        <f>E16</f>
        <v>0</v>
      </c>
      <c r="L16" s="109"/>
    </row>
    <row r="17" spans="2:12" x14ac:dyDescent="0.25">
      <c r="B17" s="109"/>
      <c r="C17" s="103" t="s">
        <v>266</v>
      </c>
      <c r="D17" s="148">
        <f>Laskentasivu!K187/1000</f>
        <v>0</v>
      </c>
      <c r="E17" s="149"/>
      <c r="F17" s="109"/>
      <c r="H17" s="109"/>
      <c r="I17" s="103" t="s">
        <v>266</v>
      </c>
      <c r="J17" s="149"/>
      <c r="K17" s="149"/>
      <c r="L17" s="109"/>
    </row>
    <row r="18" spans="2:12" x14ac:dyDescent="0.25">
      <c r="B18" s="109"/>
      <c r="C18" s="103" t="s">
        <v>96</v>
      </c>
      <c r="D18" s="148">
        <f>Laskentasivu!K188/1000</f>
        <v>0</v>
      </c>
      <c r="E18" s="149"/>
      <c r="F18" s="109"/>
      <c r="H18" s="109"/>
      <c r="I18" s="103" t="s">
        <v>96</v>
      </c>
      <c r="J18" s="151"/>
      <c r="K18" s="150"/>
      <c r="L18" s="109"/>
    </row>
    <row r="19" spans="2:12" x14ac:dyDescent="0.25">
      <c r="B19" s="109"/>
      <c r="C19" s="109"/>
      <c r="D19" s="109"/>
      <c r="E19" s="109"/>
      <c r="F19" s="109"/>
      <c r="H19" s="109"/>
      <c r="I19" s="109"/>
      <c r="J19" s="109"/>
      <c r="K19" s="109"/>
      <c r="L19" s="109"/>
    </row>
    <row r="20" spans="2:12" x14ac:dyDescent="0.25">
      <c r="B20" s="109"/>
      <c r="C20" s="109"/>
      <c r="D20" s="109"/>
      <c r="E20" s="109"/>
      <c r="F20" s="109"/>
      <c r="H20" s="109"/>
      <c r="I20" s="109"/>
      <c r="J20" s="109"/>
      <c r="K20" s="109"/>
      <c r="L20" s="109"/>
    </row>
    <row r="21" spans="2:12" x14ac:dyDescent="0.25">
      <c r="B21" s="109"/>
      <c r="C21" s="109"/>
      <c r="D21" s="109"/>
      <c r="E21" s="109"/>
      <c r="F21" s="109"/>
      <c r="H21" s="109"/>
      <c r="I21" s="109"/>
      <c r="J21" s="109"/>
      <c r="K21" s="109"/>
      <c r="L21" s="109"/>
    </row>
    <row r="22" spans="2:12" x14ac:dyDescent="0.25">
      <c r="B22" s="109"/>
      <c r="C22" s="109"/>
      <c r="D22" s="109"/>
      <c r="E22" s="109"/>
      <c r="F22" s="109"/>
      <c r="H22" s="109"/>
      <c r="I22" s="109"/>
      <c r="J22" s="109"/>
      <c r="K22" s="109"/>
      <c r="L22" s="109"/>
    </row>
    <row r="23" spans="2:12" x14ac:dyDescent="0.25">
      <c r="B23" s="109"/>
      <c r="C23" s="109"/>
      <c r="D23" s="109"/>
      <c r="E23" s="109"/>
      <c r="F23" s="109"/>
      <c r="H23" s="109"/>
      <c r="I23" s="109"/>
      <c r="J23" s="109"/>
      <c r="K23" s="109"/>
      <c r="L23" s="109"/>
    </row>
    <row r="24" spans="2:12" x14ac:dyDescent="0.25">
      <c r="B24" s="109"/>
      <c r="C24" s="109"/>
      <c r="D24" s="109"/>
      <c r="E24" s="109"/>
      <c r="F24" s="109"/>
      <c r="H24" s="109"/>
      <c r="I24" s="109"/>
      <c r="J24" s="109"/>
      <c r="K24" s="109"/>
      <c r="L24" s="109"/>
    </row>
    <row r="25" spans="2:12" x14ac:dyDescent="0.25">
      <c r="B25" s="109"/>
      <c r="C25" s="109"/>
      <c r="D25" s="109"/>
      <c r="E25" s="109"/>
      <c r="F25" s="109"/>
      <c r="H25" s="109"/>
      <c r="I25" s="109"/>
      <c r="J25" s="109"/>
      <c r="K25" s="109"/>
      <c r="L25" s="109"/>
    </row>
    <row r="26" spans="2:12" x14ac:dyDescent="0.25">
      <c r="B26" s="109"/>
      <c r="C26" s="109"/>
      <c r="D26" s="109"/>
      <c r="E26" s="109"/>
      <c r="F26" s="109"/>
      <c r="H26" s="109"/>
      <c r="I26" s="109"/>
      <c r="J26" s="109"/>
      <c r="K26" s="109"/>
      <c r="L26" s="109"/>
    </row>
    <row r="27" spans="2:12" x14ac:dyDescent="0.25">
      <c r="B27" s="109"/>
      <c r="C27" s="109"/>
      <c r="D27" s="109"/>
      <c r="E27" s="109"/>
      <c r="F27" s="109"/>
      <c r="H27" s="109"/>
      <c r="I27" s="109"/>
      <c r="J27" s="109"/>
      <c r="K27" s="109"/>
      <c r="L27" s="109"/>
    </row>
    <row r="28" spans="2:12" x14ac:dyDescent="0.25">
      <c r="B28" s="109"/>
      <c r="C28" s="109"/>
      <c r="D28" s="109"/>
      <c r="E28" s="109"/>
      <c r="F28" s="109"/>
      <c r="H28" s="109"/>
      <c r="I28" s="109"/>
      <c r="J28" s="109"/>
      <c r="K28" s="109"/>
      <c r="L28" s="109"/>
    </row>
    <row r="29" spans="2:12" x14ac:dyDescent="0.25">
      <c r="B29" s="109"/>
      <c r="C29" s="109"/>
      <c r="D29" s="109"/>
      <c r="E29" s="109"/>
      <c r="F29" s="109"/>
      <c r="H29" s="109"/>
      <c r="I29" s="109"/>
      <c r="J29" s="109"/>
      <c r="K29" s="109"/>
      <c r="L29" s="109"/>
    </row>
    <row r="30" spans="2:12" x14ac:dyDescent="0.25">
      <c r="B30" s="109"/>
      <c r="C30" s="109"/>
      <c r="D30" s="109"/>
      <c r="E30" s="109"/>
      <c r="F30" s="109"/>
      <c r="H30" s="109"/>
      <c r="I30" s="109"/>
      <c r="J30" s="109"/>
      <c r="K30" s="109"/>
      <c r="L30" s="109"/>
    </row>
    <row r="31" spans="2:12" x14ac:dyDescent="0.25">
      <c r="B31" s="109"/>
      <c r="C31" s="109"/>
      <c r="D31" s="109"/>
      <c r="E31" s="109"/>
      <c r="F31" s="109"/>
      <c r="H31" s="109"/>
      <c r="I31" s="109"/>
      <c r="J31" s="109"/>
      <c r="K31" s="109"/>
      <c r="L31" s="109"/>
    </row>
    <row r="32" spans="2:12" x14ac:dyDescent="0.25">
      <c r="B32" s="109"/>
      <c r="C32" s="109"/>
      <c r="D32" s="109"/>
      <c r="E32" s="109"/>
      <c r="F32" s="109"/>
      <c r="H32" s="109"/>
      <c r="I32" s="109"/>
      <c r="J32" s="109"/>
      <c r="K32" s="109"/>
      <c r="L32" s="109"/>
    </row>
    <row r="33" spans="2:12" x14ac:dyDescent="0.25">
      <c r="B33" s="109"/>
      <c r="C33" s="109"/>
      <c r="D33" s="109"/>
      <c r="E33" s="109"/>
      <c r="F33" s="109"/>
      <c r="H33" s="109"/>
      <c r="I33" s="109"/>
      <c r="J33" s="109"/>
      <c r="K33" s="109"/>
      <c r="L33" s="109"/>
    </row>
    <row r="34" spans="2:12" x14ac:dyDescent="0.25">
      <c r="B34" s="109"/>
      <c r="C34" s="109"/>
      <c r="D34" s="109"/>
      <c r="E34" s="109"/>
      <c r="F34" s="109"/>
      <c r="H34" s="109"/>
      <c r="I34" s="109"/>
      <c r="J34" s="109"/>
      <c r="K34" s="109"/>
      <c r="L34" s="109"/>
    </row>
    <row r="35" spans="2:12" x14ac:dyDescent="0.25">
      <c r="B35" s="109"/>
      <c r="C35" s="109"/>
      <c r="D35" s="109"/>
      <c r="E35" s="109"/>
      <c r="F35" s="109"/>
      <c r="H35" s="109"/>
      <c r="I35" s="109"/>
      <c r="J35" s="109"/>
      <c r="K35" s="109"/>
      <c r="L35" s="109"/>
    </row>
    <row r="36" spans="2:12" x14ac:dyDescent="0.25">
      <c r="B36" s="109"/>
      <c r="C36" s="109"/>
      <c r="D36" s="109"/>
      <c r="E36" s="109"/>
      <c r="F36" s="109"/>
      <c r="H36" s="109"/>
      <c r="I36" s="109"/>
      <c r="J36" s="109"/>
      <c r="K36" s="109"/>
      <c r="L36" s="109"/>
    </row>
    <row r="37" spans="2:12" x14ac:dyDescent="0.25">
      <c r="B37" s="109"/>
      <c r="C37" s="109"/>
      <c r="D37" s="109"/>
      <c r="E37" s="109"/>
      <c r="F37" s="109"/>
      <c r="H37" s="109"/>
      <c r="I37" s="109"/>
      <c r="J37" s="109"/>
      <c r="K37" s="109"/>
      <c r="L37" s="109"/>
    </row>
    <row r="38" spans="2:12" x14ac:dyDescent="0.25">
      <c r="B38" s="109"/>
      <c r="C38" s="109"/>
      <c r="D38" s="109"/>
      <c r="E38" s="109"/>
      <c r="F38" s="109"/>
      <c r="H38" s="109"/>
      <c r="I38" s="109"/>
      <c r="J38" s="109"/>
      <c r="K38" s="109"/>
      <c r="L38" s="109"/>
    </row>
    <row r="39" spans="2:12" x14ac:dyDescent="0.25">
      <c r="B39" s="109"/>
      <c r="C39" s="109"/>
      <c r="D39" s="109"/>
      <c r="E39" s="109"/>
      <c r="F39" s="109"/>
      <c r="H39" s="109"/>
      <c r="I39" s="109"/>
      <c r="J39" s="109"/>
      <c r="K39" s="109"/>
      <c r="L39" s="109"/>
    </row>
    <row r="40" spans="2:12" x14ac:dyDescent="0.25">
      <c r="B40" s="109"/>
      <c r="C40" s="109"/>
      <c r="D40" s="109"/>
      <c r="E40" s="109"/>
      <c r="F40" s="109"/>
      <c r="H40" s="109"/>
      <c r="I40" s="109"/>
      <c r="J40" s="109"/>
      <c r="K40" s="109"/>
      <c r="L40" s="109"/>
    </row>
    <row r="41" spans="2:12" x14ac:dyDescent="0.25">
      <c r="B41" s="109"/>
      <c r="C41" s="109"/>
      <c r="D41" s="109"/>
      <c r="E41" s="109"/>
      <c r="F41" s="109"/>
      <c r="H41" s="109"/>
      <c r="I41" s="109"/>
      <c r="J41" s="109"/>
      <c r="K41" s="109"/>
      <c r="L41" s="109"/>
    </row>
    <row r="42" spans="2:12" x14ac:dyDescent="0.25">
      <c r="B42" s="109"/>
      <c r="C42" s="109"/>
      <c r="D42" s="109"/>
      <c r="E42" s="109"/>
      <c r="F42" s="109"/>
      <c r="H42" s="109"/>
      <c r="I42" s="109"/>
      <c r="J42" s="109"/>
      <c r="K42" s="109"/>
      <c r="L42" s="109"/>
    </row>
    <row r="43" spans="2:12" x14ac:dyDescent="0.25">
      <c r="B43" s="109"/>
      <c r="C43" s="109"/>
      <c r="D43" s="109"/>
      <c r="E43" s="109"/>
      <c r="F43" s="109"/>
      <c r="H43" s="109"/>
      <c r="I43" s="109"/>
      <c r="J43" s="109"/>
      <c r="K43" s="109"/>
      <c r="L43" s="109"/>
    </row>
    <row r="44" spans="2:12" x14ac:dyDescent="0.25">
      <c r="B44" s="109"/>
      <c r="C44" s="109"/>
      <c r="D44" s="109"/>
      <c r="E44" s="109"/>
      <c r="F44" s="109"/>
      <c r="H44" s="109"/>
      <c r="I44" s="109"/>
      <c r="J44" s="109"/>
      <c r="K44" s="109"/>
      <c r="L44" s="109"/>
    </row>
    <row r="45" spans="2:12" x14ac:dyDescent="0.25">
      <c r="B45" s="109"/>
      <c r="C45" s="109"/>
      <c r="D45" s="109"/>
      <c r="E45" s="109"/>
      <c r="F45" s="109"/>
      <c r="H45" s="109"/>
      <c r="I45" s="109"/>
      <c r="J45" s="109"/>
      <c r="K45" s="109"/>
      <c r="L45" s="109"/>
    </row>
    <row r="46" spans="2:12" x14ac:dyDescent="0.25">
      <c r="B46" s="109"/>
      <c r="C46" s="109"/>
      <c r="D46" s="109"/>
      <c r="E46" s="109"/>
      <c r="F46" s="109"/>
      <c r="H46" s="109"/>
      <c r="I46" s="109"/>
      <c r="J46" s="109"/>
      <c r="K46" s="109"/>
      <c r="L46" s="109"/>
    </row>
    <row r="47" spans="2:12" x14ac:dyDescent="0.25">
      <c r="B47" s="109"/>
      <c r="C47" s="109"/>
      <c r="D47" s="109"/>
      <c r="E47" s="109"/>
      <c r="F47" s="109"/>
      <c r="H47" s="109"/>
      <c r="I47" s="109"/>
      <c r="J47" s="109"/>
      <c r="K47" s="109"/>
      <c r="L47" s="109"/>
    </row>
    <row r="48" spans="2:12" x14ac:dyDescent="0.25">
      <c r="B48" s="109"/>
      <c r="C48" s="109"/>
      <c r="D48" s="109"/>
      <c r="E48" s="109"/>
      <c r="F48" s="109"/>
      <c r="H48" s="109"/>
      <c r="I48" s="109"/>
      <c r="J48" s="109"/>
      <c r="K48" s="109"/>
      <c r="L48" s="109"/>
    </row>
    <row r="49" spans="2:12" x14ac:dyDescent="0.25">
      <c r="B49" s="109"/>
      <c r="C49" s="109"/>
      <c r="D49" s="109"/>
      <c r="E49" s="109"/>
      <c r="F49" s="109"/>
      <c r="H49" s="109"/>
      <c r="I49" s="109"/>
      <c r="J49" s="109"/>
      <c r="K49" s="109"/>
      <c r="L49" s="109"/>
    </row>
    <row r="50" spans="2:12" x14ac:dyDescent="0.25">
      <c r="B50" s="109"/>
      <c r="C50" s="109"/>
      <c r="D50" s="109"/>
      <c r="E50" s="109"/>
      <c r="F50" s="109"/>
      <c r="H50" s="109"/>
      <c r="I50" s="109"/>
      <c r="J50" s="109"/>
      <c r="K50" s="109"/>
      <c r="L50" s="109"/>
    </row>
    <row r="51" spans="2:12" x14ac:dyDescent="0.25">
      <c r="B51" s="109"/>
      <c r="C51" s="109"/>
      <c r="D51" s="109"/>
      <c r="E51" s="109"/>
      <c r="F51" s="109"/>
      <c r="H51" s="109"/>
      <c r="I51" s="109"/>
      <c r="J51" s="109"/>
      <c r="K51" s="109"/>
      <c r="L51" s="109"/>
    </row>
    <row r="52" spans="2:12" x14ac:dyDescent="0.25">
      <c r="B52" s="109"/>
      <c r="C52" s="109"/>
      <c r="D52" s="109"/>
      <c r="E52" s="109"/>
      <c r="F52" s="109"/>
      <c r="H52" s="109"/>
      <c r="I52" s="109"/>
      <c r="J52" s="109"/>
      <c r="K52" s="109"/>
      <c r="L52" s="109"/>
    </row>
    <row r="56" spans="2:12" ht="19" thickBot="1" x14ac:dyDescent="0.4">
      <c r="B56" s="2" t="s">
        <v>418</v>
      </c>
      <c r="C56" s="2"/>
      <c r="D56" s="2"/>
      <c r="E56" s="2"/>
      <c r="F56" s="2"/>
      <c r="G56" s="2"/>
      <c r="H56" s="2"/>
    </row>
    <row r="57" spans="2:12" ht="14" thickTop="1" x14ac:dyDescent="0.25"/>
    <row r="58" spans="2:12" x14ac:dyDescent="0.25">
      <c r="B58" s="109"/>
      <c r="C58" s="109"/>
      <c r="D58" s="109"/>
      <c r="E58" s="109"/>
      <c r="F58" s="109"/>
      <c r="G58" s="109"/>
      <c r="H58" s="109"/>
      <c r="I58" s="109"/>
      <c r="J58" s="109"/>
      <c r="K58" s="109"/>
      <c r="L58" s="109"/>
    </row>
    <row r="59" spans="2:12" x14ac:dyDescent="0.25">
      <c r="B59" s="109"/>
      <c r="C59" s="109"/>
      <c r="D59" s="213" t="s">
        <v>9</v>
      </c>
      <c r="E59" s="214"/>
      <c r="F59" s="214"/>
      <c r="G59" s="109"/>
      <c r="H59" s="213" t="s">
        <v>82</v>
      </c>
      <c r="I59" s="109"/>
      <c r="J59" s="109"/>
      <c r="K59" s="109"/>
      <c r="L59" s="109"/>
    </row>
    <row r="60" spans="2:12" x14ac:dyDescent="0.25">
      <c r="B60" s="109"/>
      <c r="C60" s="109"/>
      <c r="D60" s="105" t="s">
        <v>267</v>
      </c>
      <c r="E60" s="218" t="s">
        <v>268</v>
      </c>
      <c r="F60" s="218" t="s">
        <v>81</v>
      </c>
      <c r="G60" s="109"/>
      <c r="H60" s="107" t="s">
        <v>267</v>
      </c>
      <c r="I60" s="219" t="s">
        <v>268</v>
      </c>
      <c r="J60" s="219" t="s">
        <v>81</v>
      </c>
      <c r="K60" s="109"/>
      <c r="L60" s="109"/>
    </row>
    <row r="61" spans="2:12" ht="27" x14ac:dyDescent="0.25">
      <c r="B61" s="109"/>
      <c r="C61" s="109"/>
      <c r="D61" s="106" t="s">
        <v>69</v>
      </c>
      <c r="E61" s="215" t="s">
        <v>269</v>
      </c>
      <c r="F61" s="217">
        <f>SUM(Laskentasivu!N6:N39)/1000</f>
        <v>0</v>
      </c>
      <c r="G61" s="109"/>
      <c r="H61" s="108" t="s">
        <v>69</v>
      </c>
      <c r="I61" s="216" t="s">
        <v>269</v>
      </c>
      <c r="J61" s="217">
        <f>SUM(Laskentasivu!N101:N135)/1000</f>
        <v>0</v>
      </c>
      <c r="K61" s="109"/>
      <c r="L61" s="109"/>
    </row>
    <row r="62" spans="2:12" ht="27" x14ac:dyDescent="0.25">
      <c r="B62" s="109"/>
      <c r="C62" s="109"/>
      <c r="D62" s="106" t="s">
        <v>270</v>
      </c>
      <c r="E62" s="215" t="s">
        <v>271</v>
      </c>
      <c r="F62" s="217">
        <f>SUM(Laskentasivu!O6:O39)/1000</f>
        <v>0</v>
      </c>
      <c r="G62" s="109"/>
      <c r="H62" s="108" t="s">
        <v>270</v>
      </c>
      <c r="I62" s="216" t="s">
        <v>271</v>
      </c>
      <c r="J62" s="217">
        <f>SUM(Laskentasivu!O102:O134)/1000</f>
        <v>0</v>
      </c>
      <c r="K62" s="109"/>
      <c r="L62" s="109"/>
    </row>
    <row r="63" spans="2:12" ht="27" x14ac:dyDescent="0.25">
      <c r="B63" s="109"/>
      <c r="C63" s="109"/>
      <c r="D63" s="106" t="s">
        <v>77</v>
      </c>
      <c r="E63" s="215" t="s">
        <v>272</v>
      </c>
      <c r="F63" s="217">
        <f>SUM(Laskentasivu!M51:O71)/1000</f>
        <v>0</v>
      </c>
      <c r="G63" s="109"/>
      <c r="H63" s="108" t="s">
        <v>77</v>
      </c>
      <c r="I63" s="216" t="s">
        <v>272</v>
      </c>
      <c r="J63" s="217">
        <f>SUM(Laskentasivu!M147:O166)/1000</f>
        <v>0</v>
      </c>
      <c r="K63" s="109"/>
      <c r="L63" s="109"/>
    </row>
    <row r="64" spans="2:12" ht="27" x14ac:dyDescent="0.25">
      <c r="B64" s="109"/>
      <c r="C64" s="109"/>
      <c r="D64" s="106" t="s">
        <v>273</v>
      </c>
      <c r="E64" s="215" t="s">
        <v>272</v>
      </c>
      <c r="F64" s="217">
        <f>SUM(Laskentasivu!M74:N86)/1000</f>
        <v>0</v>
      </c>
      <c r="G64" s="109"/>
      <c r="H64" s="108" t="s">
        <v>273</v>
      </c>
      <c r="I64" s="216" t="s">
        <v>272</v>
      </c>
      <c r="J64" s="217">
        <f>SUM(Laskentasivu!M170:N182)/1000</f>
        <v>0</v>
      </c>
      <c r="K64" s="109"/>
      <c r="L64" s="109"/>
    </row>
    <row r="65" spans="2:12" x14ac:dyDescent="0.25">
      <c r="B65" s="109"/>
      <c r="C65" s="109"/>
      <c r="D65" s="109"/>
      <c r="E65" s="109"/>
      <c r="F65" s="109"/>
      <c r="G65" s="109"/>
      <c r="H65" s="109"/>
      <c r="I65" s="109"/>
      <c r="J65" s="109"/>
      <c r="K65" s="109"/>
      <c r="L65" s="109"/>
    </row>
    <row r="66" spans="2:12" x14ac:dyDescent="0.25">
      <c r="B66" s="109"/>
      <c r="C66" s="109"/>
      <c r="D66" s="109"/>
      <c r="E66" s="109"/>
      <c r="F66" s="109"/>
      <c r="G66" s="109"/>
      <c r="H66" s="109"/>
      <c r="I66" s="109"/>
      <c r="J66" s="109"/>
      <c r="K66" s="109"/>
      <c r="L66" s="109"/>
    </row>
    <row r="67" spans="2:12" x14ac:dyDescent="0.25">
      <c r="B67" s="109"/>
      <c r="C67" s="109"/>
      <c r="D67" s="109"/>
      <c r="E67" s="109"/>
      <c r="F67" s="109"/>
      <c r="G67" s="109"/>
      <c r="H67" s="109"/>
      <c r="I67" s="109"/>
      <c r="J67" s="109"/>
      <c r="K67" s="109"/>
      <c r="L67" s="109"/>
    </row>
    <row r="68" spans="2:12" x14ac:dyDescent="0.25">
      <c r="B68" s="109"/>
      <c r="C68" s="109"/>
      <c r="D68" s="109"/>
      <c r="E68" s="109"/>
      <c r="F68" s="109"/>
      <c r="G68" s="109"/>
      <c r="H68" s="109"/>
      <c r="I68" s="109"/>
      <c r="J68" s="109"/>
      <c r="K68" s="109"/>
      <c r="L68" s="109"/>
    </row>
    <row r="69" spans="2:12" x14ac:dyDescent="0.25">
      <c r="B69" s="109"/>
      <c r="C69" s="109"/>
      <c r="D69" s="109"/>
      <c r="E69" s="109"/>
      <c r="F69" s="109"/>
      <c r="G69" s="109"/>
      <c r="H69" s="109"/>
      <c r="I69" s="109"/>
      <c r="J69" s="109"/>
      <c r="K69" s="109"/>
      <c r="L69" s="109"/>
    </row>
    <row r="70" spans="2:12" x14ac:dyDescent="0.25">
      <c r="B70" s="109"/>
      <c r="C70" s="109"/>
      <c r="D70" s="109"/>
      <c r="E70" s="109"/>
      <c r="F70" s="109"/>
      <c r="G70" s="109"/>
      <c r="H70" s="109"/>
      <c r="I70" s="109"/>
      <c r="J70" s="109"/>
      <c r="K70" s="109"/>
      <c r="L70" s="109"/>
    </row>
    <row r="71" spans="2:12" x14ac:dyDescent="0.25">
      <c r="B71" s="109"/>
      <c r="C71" s="109"/>
      <c r="D71" s="109"/>
      <c r="E71" s="109"/>
      <c r="F71" s="109"/>
      <c r="G71" s="109"/>
      <c r="H71" s="109"/>
      <c r="I71" s="109"/>
      <c r="J71" s="109"/>
      <c r="K71" s="109"/>
      <c r="L71" s="109"/>
    </row>
    <row r="72" spans="2:12" x14ac:dyDescent="0.25">
      <c r="B72" s="109"/>
      <c r="C72" s="109"/>
      <c r="D72" s="109"/>
      <c r="E72" s="109"/>
      <c r="F72" s="109"/>
      <c r="G72" s="109"/>
      <c r="H72" s="109"/>
      <c r="I72" s="109"/>
      <c r="J72" s="109"/>
      <c r="K72" s="109"/>
      <c r="L72" s="109"/>
    </row>
    <row r="73" spans="2:12" x14ac:dyDescent="0.25">
      <c r="B73" s="109"/>
      <c r="C73" s="109"/>
      <c r="D73" s="109"/>
      <c r="E73" s="109"/>
      <c r="F73" s="109"/>
      <c r="G73" s="109"/>
      <c r="H73" s="109"/>
      <c r="I73" s="109"/>
      <c r="J73" s="109"/>
      <c r="K73" s="109"/>
      <c r="L73" s="109"/>
    </row>
    <row r="74" spans="2:12" x14ac:dyDescent="0.25">
      <c r="B74" s="109"/>
      <c r="C74" s="109"/>
      <c r="D74" s="109"/>
      <c r="E74" s="109"/>
      <c r="F74" s="109"/>
      <c r="G74" s="109"/>
      <c r="H74" s="109"/>
      <c r="I74" s="109"/>
      <c r="J74" s="109"/>
      <c r="K74" s="109"/>
      <c r="L74" s="109"/>
    </row>
    <row r="75" spans="2:12" x14ac:dyDescent="0.25">
      <c r="B75" s="109"/>
      <c r="C75" s="109"/>
      <c r="D75" s="109"/>
      <c r="E75" s="109"/>
      <c r="F75" s="109"/>
      <c r="G75" s="109"/>
      <c r="H75" s="109"/>
      <c r="I75" s="109"/>
      <c r="J75" s="109"/>
      <c r="K75" s="109"/>
      <c r="L75" s="109"/>
    </row>
    <row r="76" spans="2:12" x14ac:dyDescent="0.25">
      <c r="B76" s="109"/>
      <c r="C76" s="109"/>
      <c r="D76" s="109"/>
      <c r="E76" s="109"/>
      <c r="F76" s="109"/>
      <c r="G76" s="109"/>
      <c r="H76" s="109"/>
      <c r="I76" s="109"/>
      <c r="J76" s="109"/>
      <c r="K76" s="109"/>
      <c r="L76" s="109"/>
    </row>
    <row r="77" spans="2:12" x14ac:dyDescent="0.25">
      <c r="B77" s="109"/>
      <c r="C77" s="109"/>
      <c r="D77" s="109"/>
      <c r="E77" s="109"/>
      <c r="F77" s="109"/>
      <c r="G77" s="109"/>
      <c r="H77" s="109"/>
      <c r="I77" s="109"/>
      <c r="J77" s="109"/>
      <c r="K77" s="109"/>
      <c r="L77" s="109"/>
    </row>
    <row r="78" spans="2:12" x14ac:dyDescent="0.25">
      <c r="B78" s="109"/>
      <c r="C78" s="109"/>
      <c r="D78" s="109"/>
      <c r="E78" s="109"/>
      <c r="F78" s="109"/>
      <c r="G78" s="109"/>
      <c r="H78" s="109"/>
      <c r="I78" s="109"/>
      <c r="J78" s="109"/>
      <c r="K78" s="109"/>
      <c r="L78" s="109"/>
    </row>
    <row r="79" spans="2:12" x14ac:dyDescent="0.25">
      <c r="B79" s="109"/>
      <c r="C79" s="109"/>
      <c r="D79" s="109"/>
      <c r="E79" s="109"/>
      <c r="F79" s="109"/>
      <c r="G79" s="109"/>
      <c r="H79" s="109"/>
      <c r="I79" s="109"/>
      <c r="J79" s="109"/>
      <c r="K79" s="109"/>
      <c r="L79" s="109"/>
    </row>
    <row r="80" spans="2:12" x14ac:dyDescent="0.25">
      <c r="B80" s="109"/>
      <c r="C80" s="109"/>
      <c r="D80" s="109"/>
      <c r="E80" s="109"/>
      <c r="F80" s="109"/>
      <c r="G80" s="109"/>
      <c r="H80" s="109"/>
      <c r="I80" s="109"/>
      <c r="J80" s="109"/>
      <c r="K80" s="109"/>
      <c r="L80" s="109"/>
    </row>
    <row r="81" spans="2:12" x14ac:dyDescent="0.25">
      <c r="B81" s="109"/>
      <c r="C81" s="109"/>
      <c r="D81" s="109"/>
      <c r="E81" s="109"/>
      <c r="F81" s="109"/>
      <c r="G81" s="109"/>
      <c r="H81" s="109"/>
      <c r="I81" s="109"/>
      <c r="J81" s="109"/>
      <c r="K81" s="109"/>
      <c r="L81" s="109"/>
    </row>
    <row r="82" spans="2:12" x14ac:dyDescent="0.25">
      <c r="B82" s="109"/>
      <c r="C82" s="109"/>
      <c r="D82" s="109"/>
      <c r="E82" s="109"/>
      <c r="F82" s="109"/>
      <c r="G82" s="109"/>
      <c r="H82" s="109"/>
      <c r="I82" s="109"/>
      <c r="J82" s="109"/>
      <c r="K82" s="109"/>
      <c r="L82" s="109"/>
    </row>
    <row r="83" spans="2:12" x14ac:dyDescent="0.25">
      <c r="B83" s="109"/>
      <c r="C83" s="109"/>
      <c r="D83" s="109"/>
      <c r="E83" s="109"/>
      <c r="F83" s="109"/>
      <c r="G83" s="109"/>
      <c r="H83" s="109"/>
      <c r="I83" s="109"/>
      <c r="J83" s="109"/>
      <c r="K83" s="109"/>
      <c r="L83" s="109"/>
    </row>
    <row r="84" spans="2:12" x14ac:dyDescent="0.25">
      <c r="B84" s="109"/>
      <c r="C84" s="109"/>
      <c r="D84" s="109"/>
      <c r="E84" s="109"/>
      <c r="F84" s="109"/>
      <c r="G84" s="109"/>
      <c r="H84" s="109"/>
      <c r="I84" s="109"/>
      <c r="J84" s="109"/>
      <c r="K84" s="109"/>
      <c r="L84" s="109"/>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50F73-FA89-4F8C-95C4-7A3D9E083FA3}">
  <sheetPr>
    <tabColor theme="6" tint="0.79998168889431442"/>
  </sheetPr>
  <dimension ref="B1:AI106"/>
  <sheetViews>
    <sheetView zoomScale="60" zoomScaleNormal="60" workbookViewId="0">
      <selection activeCell="Q34" sqref="Q34"/>
    </sheetView>
  </sheetViews>
  <sheetFormatPr defaultColWidth="8.78515625" defaultRowHeight="13.5" x14ac:dyDescent="0.25"/>
  <cols>
    <col min="1" max="2" width="8.78515625" style="1"/>
    <col min="3" max="3" width="31.28515625" style="1" customWidth="1"/>
    <col min="4" max="4" width="11.42578125" style="1" customWidth="1"/>
    <col min="5" max="5" width="10.5703125" style="1" customWidth="1"/>
    <col min="6" max="6" width="9.42578125" style="1" customWidth="1"/>
    <col min="7" max="7" width="5.92578125" style="1" bestFit="1" customWidth="1"/>
    <col min="8" max="8" width="9.42578125" style="1" customWidth="1"/>
    <col min="9" max="9" width="10.7109375" style="1" customWidth="1"/>
    <col min="10" max="10" width="42.42578125" style="1" customWidth="1"/>
    <col min="11" max="11" width="30.42578125" style="1" customWidth="1"/>
    <col min="12" max="12" width="8.78515625" style="1"/>
    <col min="13" max="13" width="44.92578125" style="1" customWidth="1"/>
    <col min="14" max="14" width="11.2109375" style="1" bestFit="1" customWidth="1"/>
    <col min="15" max="15" width="11.42578125" style="1" bestFit="1" customWidth="1"/>
    <col min="16" max="16" width="40.2109375" style="1" customWidth="1"/>
    <col min="17" max="17" width="29.28515625" style="1" customWidth="1"/>
    <col min="18" max="18" width="8.78515625" style="1"/>
    <col min="19" max="19" width="28" style="1" bestFit="1" customWidth="1"/>
    <col min="20" max="20" width="11.2109375" style="1" bestFit="1" customWidth="1"/>
    <col min="21" max="21" width="10.28515625" style="1" customWidth="1"/>
    <col min="22" max="24" width="8.78515625" style="1"/>
    <col min="25" max="25" width="9.42578125" style="1" customWidth="1"/>
    <col min="26" max="26" width="11.42578125" style="1" bestFit="1" customWidth="1"/>
    <col min="27" max="27" width="13.78515625" style="1" customWidth="1"/>
    <col min="28" max="28" width="16" style="1" customWidth="1"/>
    <col min="29" max="29" width="12.5703125" style="1" customWidth="1"/>
    <col min="30" max="30" width="83.0703125" style="1" customWidth="1"/>
    <col min="31" max="31" width="8.78515625" style="1"/>
    <col min="32" max="32" width="29.7109375" style="1" bestFit="1" customWidth="1"/>
    <col min="33" max="33" width="12.0703125" style="1" bestFit="1" customWidth="1"/>
    <col min="34" max="34" width="11.2109375" style="1" bestFit="1" customWidth="1"/>
    <col min="35" max="35" width="49.78515625" style="1" customWidth="1"/>
    <col min="36" max="36" width="8.78515625" style="1" customWidth="1"/>
    <col min="37" max="16384" width="8.78515625" style="1"/>
  </cols>
  <sheetData>
    <row r="1" spans="2:35" x14ac:dyDescent="0.25">
      <c r="B1" s="126" t="s">
        <v>86</v>
      </c>
    </row>
    <row r="3" spans="2:35" ht="40.5" x14ac:dyDescent="0.25">
      <c r="C3" s="110" t="s">
        <v>87</v>
      </c>
      <c r="D3" s="116" t="s">
        <v>88</v>
      </c>
      <c r="E3" s="111" t="s">
        <v>13</v>
      </c>
      <c r="F3" s="111" t="s">
        <v>89</v>
      </c>
      <c r="G3" s="111"/>
      <c r="H3" s="111" t="s">
        <v>90</v>
      </c>
      <c r="I3" s="111"/>
      <c r="J3" s="111" t="s">
        <v>91</v>
      </c>
      <c r="K3" s="112" t="s">
        <v>92</v>
      </c>
      <c r="M3" s="110" t="s">
        <v>93</v>
      </c>
      <c r="N3" s="111" t="s">
        <v>94</v>
      </c>
      <c r="O3" s="111" t="s">
        <v>13</v>
      </c>
      <c r="P3" s="111" t="s">
        <v>91</v>
      </c>
      <c r="Q3" s="112" t="s">
        <v>92</v>
      </c>
      <c r="S3" s="110" t="s">
        <v>95</v>
      </c>
      <c r="T3" s="111"/>
      <c r="U3" s="111"/>
      <c r="V3" s="116"/>
      <c r="W3" s="111"/>
      <c r="X3" s="111"/>
      <c r="Y3" s="112"/>
      <c r="AA3" s="110" t="s">
        <v>96</v>
      </c>
      <c r="AB3" s="111" t="s">
        <v>94</v>
      </c>
      <c r="AC3" s="111" t="s">
        <v>13</v>
      </c>
      <c r="AD3" s="112" t="s">
        <v>91</v>
      </c>
      <c r="AF3" s="110" t="s">
        <v>353</v>
      </c>
      <c r="AG3" s="116" t="s">
        <v>426</v>
      </c>
      <c r="AH3" s="111" t="s">
        <v>13</v>
      </c>
      <c r="AI3" s="112" t="s">
        <v>91</v>
      </c>
    </row>
    <row r="4" spans="2:35" x14ac:dyDescent="0.25">
      <c r="C4" s="124"/>
      <c r="D4" s="125"/>
      <c r="E4" s="125"/>
      <c r="F4" s="125"/>
      <c r="G4" s="125"/>
      <c r="H4" s="125"/>
      <c r="I4" s="125"/>
      <c r="J4" s="114"/>
      <c r="K4" s="115"/>
      <c r="M4" s="113"/>
      <c r="N4" s="114"/>
      <c r="O4" s="114"/>
      <c r="P4" s="114"/>
      <c r="Q4" s="115"/>
      <c r="S4" s="113"/>
      <c r="T4" s="114"/>
      <c r="U4" s="114"/>
      <c r="V4" s="114"/>
      <c r="W4" s="114"/>
      <c r="X4" s="114"/>
      <c r="Y4" s="115"/>
      <c r="AA4" s="113"/>
      <c r="AB4" s="114"/>
      <c r="AC4" s="114"/>
      <c r="AD4" s="303"/>
      <c r="AF4" s="113"/>
      <c r="AG4" s="114"/>
      <c r="AH4" s="114"/>
      <c r="AI4" s="115"/>
    </row>
    <row r="5" spans="2:35" ht="14.25" customHeight="1" x14ac:dyDescent="0.25">
      <c r="B5" s="346" t="s">
        <v>34</v>
      </c>
      <c r="C5" s="12" t="s">
        <v>37</v>
      </c>
      <c r="D5" s="14"/>
      <c r="E5" s="4"/>
      <c r="F5" s="14"/>
      <c r="G5" s="4"/>
      <c r="H5" s="14"/>
      <c r="I5" s="4"/>
      <c r="J5" s="14"/>
      <c r="K5" s="5"/>
      <c r="M5" s="8" t="s">
        <v>33</v>
      </c>
      <c r="N5" s="15"/>
      <c r="O5" s="1" t="s">
        <v>97</v>
      </c>
      <c r="P5" s="14"/>
      <c r="Q5" s="14"/>
      <c r="S5" s="117" t="s">
        <v>51</v>
      </c>
      <c r="T5" s="63" t="s">
        <v>98</v>
      </c>
      <c r="U5" s="23"/>
      <c r="V5" s="63" t="s">
        <v>99</v>
      </c>
      <c r="W5" s="23"/>
      <c r="X5" s="63" t="s">
        <v>100</v>
      </c>
      <c r="Y5" s="23"/>
      <c r="AA5" s="12" t="s">
        <v>101</v>
      </c>
      <c r="AB5" s="226">
        <v>1.2E-2</v>
      </c>
      <c r="AC5" s="4" t="s">
        <v>102</v>
      </c>
      <c r="AD5" s="306" t="s">
        <v>427</v>
      </c>
      <c r="AF5" s="8" t="s">
        <v>347</v>
      </c>
      <c r="AG5" s="21">
        <v>2.7585700000000002</v>
      </c>
      <c r="AH5" s="15" t="s">
        <v>112</v>
      </c>
      <c r="AI5" s="59" t="s">
        <v>421</v>
      </c>
    </row>
    <row r="6" spans="2:35" ht="81" x14ac:dyDescent="0.25">
      <c r="B6" s="346"/>
      <c r="C6" s="28" t="s">
        <v>103</v>
      </c>
      <c r="D6" s="21">
        <v>0.05</v>
      </c>
      <c r="E6" s="1" t="s">
        <v>102</v>
      </c>
      <c r="F6" s="15">
        <v>2500</v>
      </c>
      <c r="G6" s="1" t="s">
        <v>104</v>
      </c>
      <c r="H6" s="15">
        <f>D6*F6</f>
        <v>125</v>
      </c>
      <c r="I6" s="1" t="s">
        <v>105</v>
      </c>
      <c r="J6" s="129" t="s">
        <v>106</v>
      </c>
      <c r="K6" s="59" t="s">
        <v>107</v>
      </c>
      <c r="M6" s="223" t="s">
        <v>66</v>
      </c>
      <c r="N6" s="21">
        <f>AVERAGE(40/1000,69/1000)</f>
        <v>5.4500000000000007E-2</v>
      </c>
      <c r="O6" s="1" t="s">
        <v>108</v>
      </c>
      <c r="P6" s="129" t="s">
        <v>434</v>
      </c>
      <c r="Q6" s="129" t="s">
        <v>109</v>
      </c>
      <c r="S6" s="8" t="s">
        <v>110</v>
      </c>
      <c r="T6" s="21">
        <f>AVERAGE(866,830)/1000*AVERAGE(33,88)</f>
        <v>51.304000000000002</v>
      </c>
      <c r="U6" s="1" t="s">
        <v>111</v>
      </c>
      <c r="V6" s="21">
        <f>AG$6</f>
        <v>2.5578399999999997</v>
      </c>
      <c r="W6" s="7" t="s">
        <v>112</v>
      </c>
      <c r="X6" s="20">
        <f>T6/V6</f>
        <v>20.057548556594629</v>
      </c>
      <c r="Y6" s="14" t="s">
        <v>113</v>
      </c>
      <c r="AA6" s="8" t="s">
        <v>114</v>
      </c>
      <c r="AB6" s="130">
        <v>6.7000000000000004E-2</v>
      </c>
      <c r="AC6" s="1" t="s">
        <v>102</v>
      </c>
      <c r="AD6" s="307" t="s">
        <v>427</v>
      </c>
      <c r="AF6" s="8" t="s">
        <v>261</v>
      </c>
      <c r="AG6" s="21">
        <v>2.5578399999999997</v>
      </c>
      <c r="AH6" s="15" t="s">
        <v>112</v>
      </c>
      <c r="AI6" s="59" t="s">
        <v>422</v>
      </c>
    </row>
    <row r="7" spans="2:35" ht="108" x14ac:dyDescent="0.25">
      <c r="B7" s="346"/>
      <c r="C7" s="28" t="s">
        <v>35</v>
      </c>
      <c r="D7" s="21">
        <f>60/1000</f>
        <v>0.06</v>
      </c>
      <c r="E7" s="1" t="s">
        <v>102</v>
      </c>
      <c r="F7" s="15">
        <v>2500</v>
      </c>
      <c r="G7" s="1" t="s">
        <v>104</v>
      </c>
      <c r="H7" s="15">
        <f>D7*F7</f>
        <v>150</v>
      </c>
      <c r="I7" s="1" t="s">
        <v>105</v>
      </c>
      <c r="J7" s="129" t="s">
        <v>115</v>
      </c>
      <c r="K7" s="59" t="s">
        <v>116</v>
      </c>
      <c r="M7" s="223" t="s">
        <v>330</v>
      </c>
      <c r="N7" s="21">
        <f>((558+((761-558)/19*47.5))/AVERAGE(47.5,(47.5/2)))/1000</f>
        <v>2.9908771929824562E-2</v>
      </c>
      <c r="O7" s="1" t="s">
        <v>108</v>
      </c>
      <c r="P7" s="129" t="s">
        <v>331</v>
      </c>
      <c r="Q7" s="129" t="s">
        <v>332</v>
      </c>
      <c r="S7" s="8" t="s">
        <v>117</v>
      </c>
      <c r="T7" s="21">
        <f>821/1000*112</f>
        <v>91.951999999999998</v>
      </c>
      <c r="U7" s="1" t="s">
        <v>111</v>
      </c>
      <c r="V7" s="21">
        <f t="shared" ref="V7:V19" si="0">AG$6</f>
        <v>2.5578399999999997</v>
      </c>
      <c r="W7" s="7" t="s">
        <v>112</v>
      </c>
      <c r="X7" s="21">
        <f t="shared" ref="X7:X23" si="1">T7/V7</f>
        <v>35.949082037969539</v>
      </c>
      <c r="Y7" s="15" t="s">
        <v>113</v>
      </c>
      <c r="AA7" s="8" t="s">
        <v>118</v>
      </c>
      <c r="AB7" s="130">
        <v>0</v>
      </c>
      <c r="AC7" s="1" t="s">
        <v>102</v>
      </c>
      <c r="AD7" s="307" t="s">
        <v>427</v>
      </c>
      <c r="AF7" s="8" t="s">
        <v>348</v>
      </c>
      <c r="AG7" s="21">
        <v>3.5580000000000001E-2</v>
      </c>
      <c r="AH7" s="15" t="s">
        <v>112</v>
      </c>
      <c r="AI7" s="59" t="s">
        <v>446</v>
      </c>
    </row>
    <row r="8" spans="2:35" ht="81" x14ac:dyDescent="0.25">
      <c r="B8" s="346"/>
      <c r="C8" s="8" t="s">
        <v>119</v>
      </c>
      <c r="D8" s="29">
        <v>6.0000000000000001E-3</v>
      </c>
      <c r="E8" s="1" t="s">
        <v>102</v>
      </c>
      <c r="F8" s="15">
        <v>2500</v>
      </c>
      <c r="G8" s="1" t="s">
        <v>104</v>
      </c>
      <c r="H8" s="58">
        <f t="shared" ref="H8:H25" si="2">D8*F8</f>
        <v>15</v>
      </c>
      <c r="I8" s="1" t="s">
        <v>105</v>
      </c>
      <c r="J8" s="129" t="s">
        <v>120</v>
      </c>
      <c r="K8" s="59" t="s">
        <v>121</v>
      </c>
      <c r="M8" s="224" t="s">
        <v>67</v>
      </c>
      <c r="N8" s="21">
        <f>AVERAGE(0.029,0.017)*0</f>
        <v>0</v>
      </c>
      <c r="O8" s="1" t="s">
        <v>108</v>
      </c>
      <c r="P8" s="129" t="s">
        <v>435</v>
      </c>
      <c r="Q8" s="129" t="s">
        <v>130</v>
      </c>
      <c r="S8" s="8" t="s">
        <v>122</v>
      </c>
      <c r="T8" s="21">
        <f>810/1000*149</f>
        <v>120.69000000000001</v>
      </c>
      <c r="U8" s="1" t="s">
        <v>111</v>
      </c>
      <c r="V8" s="21">
        <f t="shared" si="0"/>
        <v>2.5578399999999997</v>
      </c>
      <c r="W8" s="7" t="s">
        <v>112</v>
      </c>
      <c r="X8" s="21">
        <f t="shared" si="1"/>
        <v>47.18434303943954</v>
      </c>
      <c r="Y8" s="15" t="s">
        <v>113</v>
      </c>
      <c r="AA8" s="8" t="s">
        <v>123</v>
      </c>
      <c r="AB8" s="130">
        <v>2E-3</v>
      </c>
      <c r="AC8" s="1" t="s">
        <v>102</v>
      </c>
      <c r="AD8" s="307" t="s">
        <v>427</v>
      </c>
      <c r="AF8" s="8" t="s">
        <v>262</v>
      </c>
      <c r="AG8" s="21">
        <v>2.1618500000000003</v>
      </c>
      <c r="AH8" s="15" t="s">
        <v>112</v>
      </c>
      <c r="AI8" s="59" t="s">
        <v>445</v>
      </c>
    </row>
    <row r="9" spans="2:35" ht="81" x14ac:dyDescent="0.25">
      <c r="B9" s="346"/>
      <c r="C9" s="8" t="s">
        <v>124</v>
      </c>
      <c r="D9" s="29">
        <f>0.006</f>
        <v>6.0000000000000001E-3</v>
      </c>
      <c r="E9" s="1" t="s">
        <v>102</v>
      </c>
      <c r="F9" s="15">
        <v>2400</v>
      </c>
      <c r="G9" s="1" t="s">
        <v>104</v>
      </c>
      <c r="H9" s="58">
        <f t="shared" si="2"/>
        <v>14.4</v>
      </c>
      <c r="I9" s="1" t="s">
        <v>105</v>
      </c>
      <c r="J9" s="129" t="s">
        <v>120</v>
      </c>
      <c r="K9" s="60" t="s">
        <v>121</v>
      </c>
      <c r="M9" s="223" t="s">
        <v>335</v>
      </c>
      <c r="N9" s="21">
        <f>(((23.5+((32.1-23.5)/19*47.5))/AVERAGE(47.5,(47.5/2)))/100)*0</f>
        <v>0</v>
      </c>
      <c r="O9" s="1" t="s">
        <v>108</v>
      </c>
      <c r="P9" s="129" t="s">
        <v>435</v>
      </c>
      <c r="Q9" s="129" t="s">
        <v>340</v>
      </c>
      <c r="S9" s="8" t="s">
        <v>125</v>
      </c>
      <c r="T9" s="21">
        <f>852/1000*45</f>
        <v>38.339999999999996</v>
      </c>
      <c r="U9" s="1" t="s">
        <v>111</v>
      </c>
      <c r="V9" s="21">
        <f t="shared" si="0"/>
        <v>2.5578399999999997</v>
      </c>
      <c r="W9" s="7" t="s">
        <v>112</v>
      </c>
      <c r="X9" s="21">
        <f t="shared" si="1"/>
        <v>14.989209645638509</v>
      </c>
      <c r="Y9" s="15" t="s">
        <v>113</v>
      </c>
      <c r="AA9" s="8" t="s">
        <v>126</v>
      </c>
      <c r="AB9" s="130">
        <v>0</v>
      </c>
      <c r="AC9" s="1" t="s">
        <v>102</v>
      </c>
      <c r="AD9" s="307" t="s">
        <v>427</v>
      </c>
      <c r="AF9" s="8" t="s">
        <v>349</v>
      </c>
      <c r="AG9" s="21">
        <v>2.5591699999999999</v>
      </c>
      <c r="AH9" s="15" t="s">
        <v>102</v>
      </c>
      <c r="AI9" s="59" t="s">
        <v>447</v>
      </c>
    </row>
    <row r="10" spans="2:35" ht="94.5" x14ac:dyDescent="0.25">
      <c r="B10" s="346"/>
      <c r="C10" s="13" t="s">
        <v>127</v>
      </c>
      <c r="D10" s="21">
        <f>AVERAGE(D37,D38,D39)*(1-0.6)</f>
        <v>7.3333333333333348E-2</v>
      </c>
      <c r="E10" s="1" t="s">
        <v>102</v>
      </c>
      <c r="F10" s="15">
        <f>F37</f>
        <v>2400</v>
      </c>
      <c r="G10" s="1" t="s">
        <v>104</v>
      </c>
      <c r="H10" s="58">
        <f t="shared" si="2"/>
        <v>176.00000000000003</v>
      </c>
      <c r="I10" s="1" t="s">
        <v>105</v>
      </c>
      <c r="J10" s="129" t="s">
        <v>128</v>
      </c>
      <c r="K10" s="60" t="s">
        <v>129</v>
      </c>
      <c r="M10" s="13" t="s">
        <v>336</v>
      </c>
      <c r="N10" s="32">
        <f>AVERAGE(0.029,0.017)*0</f>
        <v>0</v>
      </c>
      <c r="O10" s="1" t="s">
        <v>108</v>
      </c>
      <c r="P10" s="173" t="s">
        <v>436</v>
      </c>
      <c r="Q10" s="129" t="s">
        <v>430</v>
      </c>
      <c r="S10" s="8" t="s">
        <v>44</v>
      </c>
      <c r="T10" s="21">
        <f>828/1000*94</f>
        <v>77.831999999999994</v>
      </c>
      <c r="U10" s="1" t="s">
        <v>111</v>
      </c>
      <c r="V10" s="21">
        <f t="shared" si="0"/>
        <v>2.5578399999999997</v>
      </c>
      <c r="W10" s="7" t="s">
        <v>112</v>
      </c>
      <c r="X10" s="21">
        <f t="shared" si="1"/>
        <v>30.428799299408876</v>
      </c>
      <c r="Y10" s="15" t="s">
        <v>113</v>
      </c>
      <c r="AA10" s="8" t="s">
        <v>131</v>
      </c>
      <c r="AB10" s="130">
        <v>0</v>
      </c>
      <c r="AC10" s="1" t="s">
        <v>102</v>
      </c>
      <c r="AD10" s="307" t="s">
        <v>427</v>
      </c>
      <c r="AF10" s="8" t="s">
        <v>350</v>
      </c>
      <c r="AG10" s="354">
        <f>1.21919/1000</f>
        <v>1.21919E-3</v>
      </c>
      <c r="AH10" s="353" t="s">
        <v>102</v>
      </c>
      <c r="AI10" s="129" t="s">
        <v>448</v>
      </c>
    </row>
    <row r="11" spans="2:35" ht="135" x14ac:dyDescent="0.25">
      <c r="B11" s="346"/>
      <c r="C11" s="13" t="s">
        <v>132</v>
      </c>
      <c r="D11" s="21">
        <v>0</v>
      </c>
      <c r="E11" s="1" t="s">
        <v>102</v>
      </c>
      <c r="F11" s="58">
        <f>AVERAGE(3310,750,1300)</f>
        <v>1786.6666666666667</v>
      </c>
      <c r="G11" s="1" t="s">
        <v>104</v>
      </c>
      <c r="H11" s="58">
        <f>D11*F11</f>
        <v>0</v>
      </c>
      <c r="I11" s="1" t="s">
        <v>105</v>
      </c>
      <c r="J11" s="129" t="s">
        <v>133</v>
      </c>
      <c r="K11" s="60" t="s">
        <v>134</v>
      </c>
      <c r="M11" s="13" t="s">
        <v>337</v>
      </c>
      <c r="N11" s="32">
        <f>(((23.5+((32.1-23.5)/19*47.5))/AVERAGE(47.5,(47.5/2)))/100)*0</f>
        <v>0</v>
      </c>
      <c r="O11" s="1" t="s">
        <v>108</v>
      </c>
      <c r="P11" s="173" t="s">
        <v>436</v>
      </c>
      <c r="Q11" s="129" t="s">
        <v>429</v>
      </c>
      <c r="S11" s="8" t="s">
        <v>135</v>
      </c>
      <c r="T11" s="21">
        <f>842/1000*74</f>
        <v>62.308</v>
      </c>
      <c r="U11" s="1" t="s">
        <v>111</v>
      </c>
      <c r="V11" s="21">
        <f t="shared" si="0"/>
        <v>2.5578399999999997</v>
      </c>
      <c r="W11" s="7" t="s">
        <v>112</v>
      </c>
      <c r="X11" s="21">
        <f t="shared" si="1"/>
        <v>24.359615925937511</v>
      </c>
      <c r="Y11" s="15" t="s">
        <v>113</v>
      </c>
      <c r="AA11" s="8" t="s">
        <v>136</v>
      </c>
      <c r="AB11" s="130">
        <v>5.0000000000000001E-3</v>
      </c>
      <c r="AC11" s="1" t="s">
        <v>102</v>
      </c>
      <c r="AD11" s="307" t="s">
        <v>427</v>
      </c>
      <c r="AF11" s="9" t="s">
        <v>351</v>
      </c>
      <c r="AG11" s="245">
        <v>0</v>
      </c>
      <c r="AH11" s="64" t="s">
        <v>166</v>
      </c>
      <c r="AI11" s="177" t="s">
        <v>354</v>
      </c>
    </row>
    <row r="12" spans="2:35" ht="67.5" x14ac:dyDescent="0.25">
      <c r="B12" s="346"/>
      <c r="C12" s="8" t="s">
        <v>137</v>
      </c>
      <c r="D12" s="15">
        <v>0</v>
      </c>
      <c r="E12" s="1" t="s">
        <v>102</v>
      </c>
      <c r="F12" s="15">
        <f>AVERAGE(2000,2650)</f>
        <v>2325</v>
      </c>
      <c r="G12" s="1" t="s">
        <v>104</v>
      </c>
      <c r="H12" s="58">
        <f t="shared" si="2"/>
        <v>0</v>
      </c>
      <c r="I12" s="1" t="s">
        <v>105</v>
      </c>
      <c r="J12" s="129" t="s">
        <v>133</v>
      </c>
      <c r="K12" s="60" t="s">
        <v>138</v>
      </c>
      <c r="M12" s="28" t="s">
        <v>338</v>
      </c>
      <c r="N12" s="130">
        <f>27.2/100*0/19</f>
        <v>0</v>
      </c>
      <c r="O12" s="1" t="s">
        <v>108</v>
      </c>
      <c r="P12" s="129" t="s">
        <v>425</v>
      </c>
      <c r="Q12" s="129"/>
      <c r="S12" s="8" t="s">
        <v>139</v>
      </c>
      <c r="T12" s="21">
        <f>857/1000*22</f>
        <v>18.853999999999999</v>
      </c>
      <c r="U12" s="1" t="s">
        <v>111</v>
      </c>
      <c r="V12" s="21">
        <f t="shared" si="0"/>
        <v>2.5578399999999997</v>
      </c>
      <c r="W12" s="7" t="s">
        <v>112</v>
      </c>
      <c r="X12" s="21">
        <f t="shared" si="1"/>
        <v>7.3710630844775284</v>
      </c>
      <c r="Y12" s="15" t="s">
        <v>113</v>
      </c>
      <c r="AA12" s="8" t="s">
        <v>140</v>
      </c>
      <c r="AB12" s="130">
        <v>0</v>
      </c>
      <c r="AC12" s="1" t="s">
        <v>102</v>
      </c>
      <c r="AD12" s="307" t="s">
        <v>427</v>
      </c>
    </row>
    <row r="13" spans="2:35" ht="67.5" x14ac:dyDescent="0.25">
      <c r="B13" s="346"/>
      <c r="C13" s="8" t="s">
        <v>141</v>
      </c>
      <c r="D13" s="15">
        <f>95/1000</f>
        <v>9.5000000000000001E-2</v>
      </c>
      <c r="E13" s="1" t="s">
        <v>102</v>
      </c>
      <c r="F13" s="15">
        <v>399</v>
      </c>
      <c r="G13" s="1" t="s">
        <v>104</v>
      </c>
      <c r="H13" s="58">
        <f t="shared" si="2"/>
        <v>37.905000000000001</v>
      </c>
      <c r="I13" s="1" t="s">
        <v>105</v>
      </c>
      <c r="J13" s="129" t="s">
        <v>142</v>
      </c>
      <c r="K13" s="61" t="s">
        <v>143</v>
      </c>
      <c r="M13" s="28" t="s">
        <v>339</v>
      </c>
      <c r="N13" s="130">
        <f>27.2/100*0/47.5</f>
        <v>0</v>
      </c>
      <c r="O13" s="1" t="s">
        <v>108</v>
      </c>
      <c r="P13" s="129" t="s">
        <v>425</v>
      </c>
      <c r="Q13" s="129"/>
      <c r="S13" s="8" t="s">
        <v>144</v>
      </c>
      <c r="T13" s="21">
        <f>829/1000*104</f>
        <v>86.215999999999994</v>
      </c>
      <c r="U13" s="1" t="s">
        <v>111</v>
      </c>
      <c r="V13" s="21">
        <f t="shared" si="0"/>
        <v>2.5578399999999997</v>
      </c>
      <c r="W13" s="7" t="s">
        <v>112</v>
      </c>
      <c r="X13" s="21">
        <f t="shared" si="1"/>
        <v>33.706564914146313</v>
      </c>
      <c r="Y13" s="15" t="s">
        <v>113</v>
      </c>
      <c r="AA13" s="8" t="s">
        <v>145</v>
      </c>
      <c r="AB13" s="130">
        <v>0</v>
      </c>
      <c r="AC13" s="1" t="s">
        <v>102</v>
      </c>
      <c r="AD13" s="307" t="s">
        <v>427</v>
      </c>
    </row>
    <row r="14" spans="2:35" ht="67.5" x14ac:dyDescent="0.25">
      <c r="B14" s="346"/>
      <c r="C14" s="13" t="s">
        <v>146</v>
      </c>
      <c r="D14" s="21">
        <v>6.0000000000000001E-3</v>
      </c>
      <c r="E14" s="1" t="s">
        <v>102</v>
      </c>
      <c r="F14" s="15">
        <f>AVERAGE(1120,1850)</f>
        <v>1485</v>
      </c>
      <c r="G14" s="1" t="s">
        <v>104</v>
      </c>
      <c r="H14" s="58">
        <f t="shared" si="2"/>
        <v>8.91</v>
      </c>
      <c r="I14" s="1" t="s">
        <v>105</v>
      </c>
      <c r="J14" s="129" t="s">
        <v>120</v>
      </c>
      <c r="K14" s="61" t="s">
        <v>121</v>
      </c>
      <c r="M14" s="28" t="s">
        <v>341</v>
      </c>
      <c r="N14" s="130">
        <f>27.2/100*AG9/19</f>
        <v>3.6636538947368423E-2</v>
      </c>
      <c r="O14" s="1" t="s">
        <v>108</v>
      </c>
      <c r="P14" s="129" t="s">
        <v>423</v>
      </c>
      <c r="Q14" s="129" t="s">
        <v>154</v>
      </c>
      <c r="S14" s="8" t="s">
        <v>147</v>
      </c>
      <c r="T14" s="21">
        <f>834/1000*88</f>
        <v>73.391999999999996</v>
      </c>
      <c r="U14" s="1" t="s">
        <v>111</v>
      </c>
      <c r="V14" s="21">
        <f t="shared" si="0"/>
        <v>2.5578399999999997</v>
      </c>
      <c r="W14" s="7" t="s">
        <v>112</v>
      </c>
      <c r="X14" s="21">
        <f t="shared" si="1"/>
        <v>28.692959684733996</v>
      </c>
      <c r="Y14" s="15" t="s">
        <v>113</v>
      </c>
      <c r="AA14" s="8" t="s">
        <v>148</v>
      </c>
      <c r="AB14" s="130">
        <v>4.7E-2</v>
      </c>
      <c r="AC14" s="1" t="s">
        <v>102</v>
      </c>
      <c r="AD14" s="307" t="s">
        <v>427</v>
      </c>
    </row>
    <row r="15" spans="2:35" ht="67.5" x14ac:dyDescent="0.25">
      <c r="B15" s="346"/>
      <c r="C15" s="8" t="s">
        <v>149</v>
      </c>
      <c r="D15" s="15">
        <v>0</v>
      </c>
      <c r="E15" s="1" t="s">
        <v>102</v>
      </c>
      <c r="F15" s="15">
        <f>AVERAGE(1100,1400)</f>
        <v>1250</v>
      </c>
      <c r="G15" s="1" t="s">
        <v>104</v>
      </c>
      <c r="H15" s="58">
        <f t="shared" si="2"/>
        <v>0</v>
      </c>
      <c r="I15" s="1" t="s">
        <v>105</v>
      </c>
      <c r="J15" s="129" t="s">
        <v>133</v>
      </c>
      <c r="K15" s="60" t="s">
        <v>150</v>
      </c>
      <c r="M15" s="28" t="s">
        <v>342</v>
      </c>
      <c r="N15" s="130">
        <f>27.2/100*AG9/47.5</f>
        <v>1.465461557894737E-2</v>
      </c>
      <c r="O15" s="1" t="s">
        <v>108</v>
      </c>
      <c r="P15" s="129" t="s">
        <v>424</v>
      </c>
      <c r="Q15" s="129" t="s">
        <v>154</v>
      </c>
      <c r="S15" s="8" t="s">
        <v>151</v>
      </c>
      <c r="T15" s="21">
        <f>863/1000*62</f>
        <v>53.506</v>
      </c>
      <c r="U15" s="1" t="s">
        <v>111</v>
      </c>
      <c r="V15" s="21">
        <f t="shared" si="0"/>
        <v>2.5578399999999997</v>
      </c>
      <c r="W15" s="7" t="s">
        <v>112</v>
      </c>
      <c r="X15" s="21">
        <f>T15/V15</f>
        <v>20.91843117630501</v>
      </c>
      <c r="Y15" s="15" t="s">
        <v>113</v>
      </c>
      <c r="AA15" s="9" t="s">
        <v>152</v>
      </c>
      <c r="AB15" s="227">
        <v>2E-3</v>
      </c>
      <c r="AC15" s="10" t="s">
        <v>102</v>
      </c>
      <c r="AD15" s="308" t="s">
        <v>427</v>
      </c>
    </row>
    <row r="16" spans="2:35" ht="94.5" x14ac:dyDescent="0.25">
      <c r="B16" s="346"/>
      <c r="C16" s="13" t="s">
        <v>153</v>
      </c>
      <c r="D16" s="21">
        <v>0</v>
      </c>
      <c r="E16" s="1" t="s">
        <v>102</v>
      </c>
      <c r="F16" s="58">
        <f>AVERAGE(2.7,2.95)*1000</f>
        <v>2825</v>
      </c>
      <c r="G16" s="1" t="s">
        <v>104</v>
      </c>
      <c r="H16" s="58">
        <f t="shared" si="2"/>
        <v>0</v>
      </c>
      <c r="I16" s="1" t="s">
        <v>105</v>
      </c>
      <c r="J16" s="129" t="s">
        <v>133</v>
      </c>
      <c r="K16" s="61" t="s">
        <v>134</v>
      </c>
      <c r="M16" s="28" t="s">
        <v>343</v>
      </c>
      <c r="N16" s="244">
        <f>AVERAGE(0.029,0.017)*0</f>
        <v>0</v>
      </c>
      <c r="O16" s="1" t="s">
        <v>108</v>
      </c>
      <c r="P16" s="129" t="s">
        <v>437</v>
      </c>
      <c r="Q16" s="129" t="s">
        <v>345</v>
      </c>
      <c r="S16" s="8" t="s">
        <v>155</v>
      </c>
      <c r="T16" s="21">
        <f>818/1000*153</f>
        <v>125.154</v>
      </c>
      <c r="U16" s="1" t="s">
        <v>111</v>
      </c>
      <c r="V16" s="21">
        <f t="shared" si="0"/>
        <v>2.5578399999999997</v>
      </c>
      <c r="W16" s="7" t="s">
        <v>112</v>
      </c>
      <c r="X16" s="21">
        <f t="shared" si="1"/>
        <v>48.929565570950494</v>
      </c>
      <c r="Y16" s="15" t="s">
        <v>113</v>
      </c>
    </row>
    <row r="17" spans="2:25" ht="94.5" x14ac:dyDescent="0.25">
      <c r="B17" s="346"/>
      <c r="C17" s="13" t="s">
        <v>156</v>
      </c>
      <c r="D17" s="30">
        <f>284340/130000000</f>
        <v>2.1872307692307694E-3</v>
      </c>
      <c r="E17" s="1" t="s">
        <v>102</v>
      </c>
      <c r="F17" s="15">
        <f>AVERAGE(1100,1350)</f>
        <v>1225</v>
      </c>
      <c r="G17" s="1" t="s">
        <v>104</v>
      </c>
      <c r="H17" s="58">
        <f>D17*F17</f>
        <v>2.6793576923076925</v>
      </c>
      <c r="I17" s="1" t="s">
        <v>105</v>
      </c>
      <c r="J17" s="129" t="s">
        <v>157</v>
      </c>
      <c r="K17" s="61" t="s">
        <v>97</v>
      </c>
      <c r="M17" s="28" t="s">
        <v>344</v>
      </c>
      <c r="N17" s="244">
        <f>(((23.5+((32.1-23.5)/19*47.5))/AVERAGE(47.5,(47.5/2)))/100)*0</f>
        <v>0</v>
      </c>
      <c r="O17" s="1" t="s">
        <v>108</v>
      </c>
      <c r="P17" s="129" t="s">
        <v>437</v>
      </c>
      <c r="Q17" s="129" t="s">
        <v>345</v>
      </c>
      <c r="S17" s="8" t="s">
        <v>158</v>
      </c>
      <c r="T17" s="21">
        <f>843/1000*50</f>
        <v>42.15</v>
      </c>
      <c r="U17" s="1" t="s">
        <v>111</v>
      </c>
      <c r="V17" s="21">
        <f>AG$6</f>
        <v>2.5578399999999997</v>
      </c>
      <c r="W17" s="7" t="s">
        <v>112</v>
      </c>
      <c r="X17" s="21">
        <f>T17/V17</f>
        <v>16.47874769336628</v>
      </c>
      <c r="Y17" s="15" t="s">
        <v>113</v>
      </c>
    </row>
    <row r="18" spans="2:25" ht="67.5" x14ac:dyDescent="0.25">
      <c r="B18" s="346"/>
      <c r="C18" s="13" t="s">
        <v>159</v>
      </c>
      <c r="D18" s="30">
        <f>284340/130000000</f>
        <v>2.1872307692307694E-3</v>
      </c>
      <c r="E18" s="1" t="s">
        <v>102</v>
      </c>
      <c r="F18" s="15">
        <f>AVERAGE(1400,1680)</f>
        <v>1540</v>
      </c>
      <c r="G18" s="1" t="s">
        <v>104</v>
      </c>
      <c r="H18" s="58">
        <f t="shared" si="2"/>
        <v>3.368335384615385</v>
      </c>
      <c r="I18" s="1" t="s">
        <v>105</v>
      </c>
      <c r="J18" s="129" t="s">
        <v>157</v>
      </c>
      <c r="K18" s="61" t="s">
        <v>160</v>
      </c>
      <c r="M18" s="13" t="s">
        <v>161</v>
      </c>
      <c r="N18" s="21">
        <f>25.5/1000</f>
        <v>2.5499999999999998E-2</v>
      </c>
      <c r="O18" s="1" t="s">
        <v>108</v>
      </c>
      <c r="P18" s="129" t="s">
        <v>438</v>
      </c>
      <c r="Q18" s="15" t="s">
        <v>97</v>
      </c>
      <c r="S18" s="8" t="s">
        <v>162</v>
      </c>
      <c r="T18" s="21">
        <f>830/1000*89</f>
        <v>73.86999999999999</v>
      </c>
      <c r="U18" s="1" t="s">
        <v>111</v>
      </c>
      <c r="V18" s="21">
        <f t="shared" si="0"/>
        <v>2.5578399999999997</v>
      </c>
      <c r="W18" s="7" t="s">
        <v>112</v>
      </c>
      <c r="X18" s="21">
        <f>T18/V18</f>
        <v>28.879836111719264</v>
      </c>
      <c r="Y18" s="15" t="s">
        <v>113</v>
      </c>
    </row>
    <row r="19" spans="2:25" ht="67.5" x14ac:dyDescent="0.25">
      <c r="B19" s="346"/>
      <c r="C19" s="8" t="s">
        <v>36</v>
      </c>
      <c r="D19" s="15">
        <v>0</v>
      </c>
      <c r="E19" s="1" t="s">
        <v>102</v>
      </c>
      <c r="F19" s="15">
        <f>AVERAGE(1000,1500)</f>
        <v>1250</v>
      </c>
      <c r="G19" s="1" t="s">
        <v>104</v>
      </c>
      <c r="H19" s="58">
        <f t="shared" si="2"/>
        <v>0</v>
      </c>
      <c r="I19" s="1" t="s">
        <v>105</v>
      </c>
      <c r="J19" s="129" t="s">
        <v>133</v>
      </c>
      <c r="K19" s="60" t="s">
        <v>134</v>
      </c>
      <c r="M19" s="13" t="s">
        <v>163</v>
      </c>
      <c r="N19" s="21">
        <f>18/1000</f>
        <v>1.7999999999999999E-2</v>
      </c>
      <c r="O19" s="1" t="s">
        <v>108</v>
      </c>
      <c r="P19" s="129" t="s">
        <v>439</v>
      </c>
      <c r="Q19" s="15" t="s">
        <v>97</v>
      </c>
      <c r="S19" s="19" t="s">
        <v>164</v>
      </c>
      <c r="T19" s="21">
        <f>863/1000*37</f>
        <v>31.931000000000001</v>
      </c>
      <c r="U19" s="1" t="s">
        <v>111</v>
      </c>
      <c r="V19" s="21">
        <f t="shared" si="0"/>
        <v>2.5578399999999997</v>
      </c>
      <c r="W19" s="7" t="s">
        <v>112</v>
      </c>
      <c r="X19" s="21">
        <f t="shared" si="1"/>
        <v>12.483579895536861</v>
      </c>
      <c r="Y19" s="15" t="s">
        <v>113</v>
      </c>
    </row>
    <row r="20" spans="2:25" ht="175.5" x14ac:dyDescent="0.25">
      <c r="B20" s="346"/>
      <c r="C20" s="19" t="s">
        <v>165</v>
      </c>
      <c r="D20" s="21">
        <f>1.2*0.23241</f>
        <v>0.27889199999999997</v>
      </c>
      <c r="E20" s="1" t="s">
        <v>166</v>
      </c>
      <c r="F20" s="15">
        <f>AVERAGE(1020,1270)</f>
        <v>1145</v>
      </c>
      <c r="G20" s="1" t="s">
        <v>104</v>
      </c>
      <c r="H20" s="58">
        <f>D20*F20</f>
        <v>319.33133999999995</v>
      </c>
      <c r="I20" s="1" t="s">
        <v>105</v>
      </c>
      <c r="J20" s="129" t="s">
        <v>167</v>
      </c>
      <c r="K20" s="61" t="s">
        <v>168</v>
      </c>
      <c r="M20" s="13" t="s">
        <v>169</v>
      </c>
      <c r="N20" s="92">
        <f>0.027*T38</f>
        <v>6.3422999999999995E-3</v>
      </c>
      <c r="O20" s="93" t="s">
        <v>108</v>
      </c>
      <c r="P20" s="129" t="s">
        <v>440</v>
      </c>
      <c r="Q20" s="15" t="s">
        <v>97</v>
      </c>
      <c r="S20" s="8" t="s">
        <v>170</v>
      </c>
      <c r="T20" s="21">
        <f>1122/1000*30</f>
        <v>33.660000000000004</v>
      </c>
      <c r="U20" s="1" t="s">
        <v>111</v>
      </c>
      <c r="V20" s="21">
        <f>AG$8</f>
        <v>2.1618500000000003</v>
      </c>
      <c r="W20" s="7" t="s">
        <v>112</v>
      </c>
      <c r="X20" s="21">
        <f t="shared" si="1"/>
        <v>15.569997918449475</v>
      </c>
      <c r="Y20" s="15" t="s">
        <v>113</v>
      </c>
    </row>
    <row r="21" spans="2:25" ht="135" x14ac:dyDescent="0.25">
      <c r="B21" s="346"/>
      <c r="C21" s="13" t="s">
        <v>171</v>
      </c>
      <c r="D21" s="21">
        <v>0</v>
      </c>
      <c r="E21" s="1" t="s">
        <v>102</v>
      </c>
      <c r="F21" s="58">
        <f>AVERAGE(0.3,0.6,0.5,1.1,1.5,1.8,2,0.75)*1000</f>
        <v>1068.75</v>
      </c>
      <c r="G21" s="1" t="s">
        <v>104</v>
      </c>
      <c r="H21" s="58">
        <f t="shared" si="2"/>
        <v>0</v>
      </c>
      <c r="I21" s="1" t="s">
        <v>105</v>
      </c>
      <c r="J21" s="129" t="s">
        <v>133</v>
      </c>
      <c r="K21" s="60" t="s">
        <v>172</v>
      </c>
      <c r="M21" s="13" t="s">
        <v>173</v>
      </c>
      <c r="N21" s="92">
        <f>0.027*T38</f>
        <v>6.3422999999999995E-3</v>
      </c>
      <c r="O21" s="93" t="s">
        <v>108</v>
      </c>
      <c r="P21" s="129" t="s">
        <v>441</v>
      </c>
      <c r="Q21" s="15" t="s">
        <v>97</v>
      </c>
      <c r="S21" s="8" t="s">
        <v>174</v>
      </c>
      <c r="T21" s="21">
        <f>1094/1000*10</f>
        <v>10.940000000000001</v>
      </c>
      <c r="U21" s="1" t="s">
        <v>111</v>
      </c>
      <c r="V21" s="21">
        <f t="shared" ref="V21:V22" si="3">AG$8</f>
        <v>2.1618500000000003</v>
      </c>
      <c r="W21" s="7" t="s">
        <v>112</v>
      </c>
      <c r="X21" s="21">
        <f t="shared" si="1"/>
        <v>5.0604806068876194</v>
      </c>
      <c r="Y21" s="15" t="s">
        <v>113</v>
      </c>
    </row>
    <row r="22" spans="2:25" ht="40.5" x14ac:dyDescent="0.25">
      <c r="B22" s="346"/>
      <c r="C22" s="13" t="s">
        <v>175</v>
      </c>
      <c r="D22" s="21">
        <v>0</v>
      </c>
      <c r="E22" s="1" t="s">
        <v>102</v>
      </c>
      <c r="F22" s="15">
        <f>2.54*1000</f>
        <v>2540</v>
      </c>
      <c r="G22" s="1" t="s">
        <v>104</v>
      </c>
      <c r="H22" s="58">
        <f t="shared" si="2"/>
        <v>0</v>
      </c>
      <c r="I22" s="1" t="s">
        <v>105</v>
      </c>
      <c r="J22" s="129" t="s">
        <v>133</v>
      </c>
      <c r="K22" s="61" t="s">
        <v>134</v>
      </c>
      <c r="M22" s="13" t="s">
        <v>346</v>
      </c>
      <c r="N22" s="92">
        <f>49/1000</f>
        <v>4.9000000000000002E-2</v>
      </c>
      <c r="O22" s="93" t="s">
        <v>108</v>
      </c>
      <c r="P22" s="129" t="s">
        <v>442</v>
      </c>
      <c r="Q22" s="15"/>
      <c r="S22" s="19" t="s">
        <v>47</v>
      </c>
      <c r="T22" s="21">
        <f>1183/1000*3</f>
        <v>3.5490000000000004</v>
      </c>
      <c r="U22" s="1" t="s">
        <v>111</v>
      </c>
      <c r="V22" s="21">
        <f t="shared" si="3"/>
        <v>2.1618500000000003</v>
      </c>
      <c r="W22" s="7" t="s">
        <v>112</v>
      </c>
      <c r="X22" s="21">
        <f t="shared" si="1"/>
        <v>1.6416495131484607</v>
      </c>
      <c r="Y22" s="15" t="s">
        <v>113</v>
      </c>
    </row>
    <row r="23" spans="2:25" ht="67.5" x14ac:dyDescent="0.25">
      <c r="B23" s="346"/>
      <c r="C23" s="8" t="s">
        <v>176</v>
      </c>
      <c r="D23" s="29">
        <v>6.0000000000000001E-3</v>
      </c>
      <c r="E23" s="1" t="s">
        <v>102</v>
      </c>
      <c r="F23" s="15">
        <f>F9</f>
        <v>2400</v>
      </c>
      <c r="G23" s="1" t="s">
        <v>104</v>
      </c>
      <c r="H23" s="58">
        <f t="shared" si="2"/>
        <v>14.4</v>
      </c>
      <c r="I23" s="1" t="s">
        <v>105</v>
      </c>
      <c r="J23" s="129" t="s">
        <v>120</v>
      </c>
      <c r="K23" s="60" t="s">
        <v>121</v>
      </c>
      <c r="M23" s="281" t="s">
        <v>407</v>
      </c>
      <c r="N23" s="282">
        <f>5/50*2.746/10</f>
        <v>2.7460000000000002E-2</v>
      </c>
      <c r="O23" s="283" t="s">
        <v>108</v>
      </c>
      <c r="P23" s="284" t="s">
        <v>443</v>
      </c>
      <c r="Q23" s="284" t="s">
        <v>406</v>
      </c>
      <c r="S23" s="19" t="s">
        <v>177</v>
      </c>
      <c r="T23" s="21">
        <f>1732/1000*1</f>
        <v>1.732</v>
      </c>
      <c r="U23" s="1" t="s">
        <v>111</v>
      </c>
      <c r="V23" s="21">
        <f>AG$8</f>
        <v>2.1618500000000003</v>
      </c>
      <c r="W23" s="7" t="s">
        <v>112</v>
      </c>
      <c r="X23" s="21">
        <f t="shared" si="1"/>
        <v>0.80116566829335978</v>
      </c>
      <c r="Y23" s="15" t="s">
        <v>113</v>
      </c>
    </row>
    <row r="24" spans="2:25" ht="27" x14ac:dyDescent="0.25">
      <c r="B24" s="346"/>
      <c r="C24" s="8" t="s">
        <v>178</v>
      </c>
      <c r="D24" s="21">
        <v>0.36</v>
      </c>
      <c r="E24" s="1" t="s">
        <v>102</v>
      </c>
      <c r="F24" s="15">
        <v>190</v>
      </c>
      <c r="G24" s="1" t="s">
        <v>104</v>
      </c>
      <c r="H24" s="58">
        <f t="shared" si="2"/>
        <v>68.399999999999991</v>
      </c>
      <c r="I24" s="1" t="s">
        <v>105</v>
      </c>
      <c r="J24" s="129" t="s">
        <v>179</v>
      </c>
      <c r="K24" s="7" t="s">
        <v>97</v>
      </c>
      <c r="M24" s="230"/>
      <c r="N24" s="231"/>
      <c r="O24" s="232"/>
      <c r="P24" s="231"/>
      <c r="Q24" s="231"/>
      <c r="S24" s="8" t="s">
        <v>49</v>
      </c>
      <c r="T24" s="21">
        <f>1106/1000*30</f>
        <v>33.18</v>
      </c>
      <c r="U24" s="1" t="s">
        <v>111</v>
      </c>
      <c r="V24" s="21">
        <v>1.5570900000000001</v>
      </c>
      <c r="W24" s="7" t="s">
        <v>112</v>
      </c>
      <c r="X24" s="21">
        <f>T24/V24</f>
        <v>21.3089802130898</v>
      </c>
      <c r="Y24" s="15" t="s">
        <v>113</v>
      </c>
    </row>
    <row r="25" spans="2:25" x14ac:dyDescent="0.25">
      <c r="B25" s="346"/>
      <c r="C25" s="8" t="s">
        <v>180</v>
      </c>
      <c r="D25" s="15">
        <v>0</v>
      </c>
      <c r="E25" s="1" t="s">
        <v>102</v>
      </c>
      <c r="F25" s="15">
        <f>2.65*1000</f>
        <v>2650</v>
      </c>
      <c r="G25" s="1" t="s">
        <v>104</v>
      </c>
      <c r="H25" s="58">
        <f t="shared" si="2"/>
        <v>0</v>
      </c>
      <c r="I25" s="1" t="s">
        <v>105</v>
      </c>
      <c r="J25" s="129" t="s">
        <v>133</v>
      </c>
      <c r="K25" s="60" t="s">
        <v>134</v>
      </c>
      <c r="M25" s="230"/>
      <c r="N25" s="231"/>
      <c r="O25" s="232"/>
      <c r="P25" s="231"/>
      <c r="Q25" s="231"/>
      <c r="S25" s="230"/>
      <c r="T25" s="236"/>
      <c r="U25" s="232"/>
      <c r="V25" s="231"/>
      <c r="W25" s="234"/>
      <c r="X25" s="236"/>
      <c r="Y25" s="231"/>
    </row>
    <row r="26" spans="2:25" x14ac:dyDescent="0.25">
      <c r="B26" s="346"/>
      <c r="C26" s="230"/>
      <c r="D26" s="231"/>
      <c r="E26" s="232"/>
      <c r="F26" s="231"/>
      <c r="G26" s="232"/>
      <c r="H26" s="299"/>
      <c r="I26" s="232"/>
      <c r="J26" s="233"/>
      <c r="K26" s="300"/>
      <c r="M26" s="230"/>
      <c r="N26" s="231"/>
      <c r="O26" s="232"/>
      <c r="P26" s="231"/>
      <c r="Q26" s="231"/>
      <c r="S26" s="230"/>
      <c r="T26" s="231"/>
      <c r="U26" s="232"/>
      <c r="V26" s="231"/>
      <c r="W26" s="234"/>
      <c r="X26" s="236"/>
      <c r="Y26" s="231"/>
    </row>
    <row r="27" spans="2:25" x14ac:dyDescent="0.25">
      <c r="B27" s="346"/>
      <c r="C27" s="230"/>
      <c r="D27" s="231"/>
      <c r="E27" s="232"/>
      <c r="F27" s="231"/>
      <c r="G27" s="232"/>
      <c r="H27" s="231"/>
      <c r="I27" s="232"/>
      <c r="J27" s="233"/>
      <c r="K27" s="234"/>
      <c r="M27" s="230"/>
      <c r="N27" s="236"/>
      <c r="O27" s="232"/>
      <c r="P27" s="231"/>
      <c r="Q27" s="231"/>
      <c r="S27" s="230"/>
      <c r="T27" s="231"/>
      <c r="U27" s="232"/>
      <c r="V27" s="231"/>
      <c r="W27" s="234"/>
      <c r="X27" s="236"/>
      <c r="Y27" s="231"/>
    </row>
    <row r="28" spans="2:25" x14ac:dyDescent="0.25">
      <c r="B28" s="346"/>
      <c r="C28" s="230"/>
      <c r="D28" s="231"/>
      <c r="E28" s="232"/>
      <c r="F28" s="231"/>
      <c r="G28" s="232"/>
      <c r="H28" s="231"/>
      <c r="I28" s="232"/>
      <c r="J28" s="233"/>
      <c r="K28" s="234"/>
      <c r="M28" s="230"/>
      <c r="N28" s="236"/>
      <c r="O28" s="232"/>
      <c r="P28" s="231"/>
      <c r="Q28" s="231"/>
      <c r="S28" s="230"/>
      <c r="T28" s="231"/>
      <c r="U28" s="232"/>
      <c r="V28" s="231"/>
      <c r="W28" s="234"/>
      <c r="X28" s="236"/>
      <c r="Y28" s="231"/>
    </row>
    <row r="29" spans="2:25" x14ac:dyDescent="0.25">
      <c r="B29" s="346"/>
      <c r="C29" s="235"/>
      <c r="D29" s="236"/>
      <c r="E29" s="232"/>
      <c r="F29" s="231"/>
      <c r="G29" s="232"/>
      <c r="H29" s="231"/>
      <c r="I29" s="232"/>
      <c r="J29" s="233"/>
      <c r="K29" s="237"/>
      <c r="M29" s="238"/>
      <c r="N29" s="239"/>
      <c r="O29" s="240"/>
      <c r="P29" s="239"/>
      <c r="Q29" s="239"/>
      <c r="S29" s="230"/>
      <c r="T29" s="236"/>
      <c r="U29" s="232"/>
      <c r="V29" s="231"/>
      <c r="W29" s="234"/>
      <c r="X29" s="236"/>
      <c r="Y29" s="231"/>
    </row>
    <row r="30" spans="2:25" x14ac:dyDescent="0.25">
      <c r="B30" s="346"/>
      <c r="C30" s="235"/>
      <c r="D30" s="236"/>
      <c r="E30" s="232"/>
      <c r="F30" s="231"/>
      <c r="G30" s="232"/>
      <c r="H30" s="231"/>
      <c r="I30" s="232"/>
      <c r="J30" s="233"/>
      <c r="K30" s="237"/>
      <c r="S30" s="230"/>
      <c r="T30" s="231"/>
      <c r="U30" s="232"/>
      <c r="V30" s="231"/>
      <c r="W30" s="234"/>
      <c r="X30" s="236"/>
      <c r="Y30" s="231"/>
    </row>
    <row r="31" spans="2:25" x14ac:dyDescent="0.25">
      <c r="B31" s="346"/>
      <c r="C31" s="235"/>
      <c r="D31" s="236"/>
      <c r="E31" s="232"/>
      <c r="F31" s="231"/>
      <c r="G31" s="232"/>
      <c r="H31" s="231"/>
      <c r="I31" s="232"/>
      <c r="J31" s="233"/>
      <c r="K31" s="237"/>
      <c r="S31" s="238"/>
      <c r="T31" s="239"/>
      <c r="U31" s="240"/>
      <c r="V31" s="239"/>
      <c r="W31" s="242"/>
      <c r="X31" s="245"/>
      <c r="Y31" s="239"/>
    </row>
    <row r="32" spans="2:25" ht="14.25" customHeight="1" x14ac:dyDescent="0.25">
      <c r="B32" s="346"/>
      <c r="C32" s="235"/>
      <c r="D32" s="236"/>
      <c r="E32" s="232"/>
      <c r="F32" s="231"/>
      <c r="G32" s="232"/>
      <c r="H32" s="231"/>
      <c r="I32" s="232"/>
      <c r="J32" s="233"/>
      <c r="K32" s="237"/>
      <c r="S32" s="4" t="s">
        <v>420</v>
      </c>
    </row>
    <row r="33" spans="2:25" ht="28.5" customHeight="1" x14ac:dyDescent="0.25">
      <c r="B33" s="346"/>
      <c r="C33" s="235"/>
      <c r="D33" s="236"/>
      <c r="E33" s="232"/>
      <c r="F33" s="231"/>
      <c r="G33" s="232"/>
      <c r="H33" s="231"/>
      <c r="I33" s="232"/>
      <c r="J33" s="233"/>
      <c r="K33" s="237"/>
      <c r="M33" s="172"/>
      <c r="N33" s="18"/>
      <c r="O33" s="18"/>
      <c r="S33" s="309" t="s">
        <v>428</v>
      </c>
    </row>
    <row r="34" spans="2:25" ht="40" customHeight="1" x14ac:dyDescent="0.25">
      <c r="B34" s="346"/>
      <c r="C34" s="238"/>
      <c r="D34" s="239"/>
      <c r="E34" s="240"/>
      <c r="F34" s="239"/>
      <c r="G34" s="240"/>
      <c r="H34" s="239"/>
      <c r="I34" s="240"/>
      <c r="J34" s="241"/>
      <c r="K34" s="242"/>
      <c r="M34" s="18"/>
      <c r="N34" s="18"/>
      <c r="O34" s="18"/>
      <c r="S34" s="352" t="s">
        <v>444</v>
      </c>
      <c r="T34" s="352"/>
      <c r="U34" s="352"/>
      <c r="V34" s="352"/>
      <c r="W34" s="352"/>
      <c r="X34" s="352"/>
      <c r="Y34" s="352"/>
    </row>
    <row r="35" spans="2:25" x14ac:dyDescent="0.25">
      <c r="B35" s="345" t="s">
        <v>24</v>
      </c>
      <c r="C35" s="31" t="s">
        <v>31</v>
      </c>
      <c r="D35" s="20"/>
      <c r="E35" s="4"/>
      <c r="F35" s="14"/>
      <c r="G35" s="4"/>
      <c r="H35" s="14"/>
      <c r="I35" s="4"/>
      <c r="J35" s="129"/>
      <c r="K35" s="62"/>
      <c r="M35" s="18"/>
      <c r="N35" s="18"/>
      <c r="O35" s="18"/>
    </row>
    <row r="36" spans="2:25" ht="41.5" customHeight="1" x14ac:dyDescent="0.25">
      <c r="B36" s="345"/>
      <c r="C36" s="19" t="s">
        <v>182</v>
      </c>
      <c r="D36" s="30">
        <f>74/1000</f>
        <v>7.3999999999999996E-2</v>
      </c>
      <c r="E36" s="1" t="s">
        <v>102</v>
      </c>
      <c r="F36" s="15">
        <v>2500</v>
      </c>
      <c r="G36" s="1" t="s">
        <v>104</v>
      </c>
      <c r="H36" s="58">
        <f>D36*F36</f>
        <v>185</v>
      </c>
      <c r="I36" s="1" t="s">
        <v>105</v>
      </c>
      <c r="J36" s="129" t="s">
        <v>115</v>
      </c>
      <c r="K36" s="59" t="s">
        <v>116</v>
      </c>
      <c r="M36" s="18"/>
      <c r="N36" s="18"/>
      <c r="O36" s="18"/>
      <c r="Q36" s="131"/>
      <c r="S36" s="110" t="s">
        <v>183</v>
      </c>
      <c r="T36" s="111" t="s">
        <v>94</v>
      </c>
      <c r="U36" s="111" t="s">
        <v>13</v>
      </c>
      <c r="V36" s="111" t="s">
        <v>181</v>
      </c>
      <c r="W36" s="111"/>
      <c r="X36" s="111"/>
      <c r="Y36" s="112"/>
    </row>
    <row r="37" spans="2:25" ht="27" x14ac:dyDescent="0.25">
      <c r="B37" s="345"/>
      <c r="C37" s="13" t="s">
        <v>83</v>
      </c>
      <c r="D37" s="21">
        <v>0.18</v>
      </c>
      <c r="E37" s="1" t="s">
        <v>102</v>
      </c>
      <c r="F37" s="15">
        <v>2400</v>
      </c>
      <c r="G37" s="1" t="s">
        <v>104</v>
      </c>
      <c r="H37" s="15">
        <f t="shared" ref="H37:H51" si="4">D37*F37</f>
        <v>432</v>
      </c>
      <c r="I37" s="1" t="s">
        <v>105</v>
      </c>
      <c r="J37" s="129" t="s">
        <v>184</v>
      </c>
      <c r="K37" s="7" t="s">
        <v>97</v>
      </c>
      <c r="M37" s="18"/>
      <c r="N37" s="18"/>
      <c r="O37" s="18"/>
      <c r="S37" s="8" t="s">
        <v>54</v>
      </c>
      <c r="T37" s="1">
        <v>0</v>
      </c>
      <c r="U37" s="1" t="s">
        <v>185</v>
      </c>
      <c r="V37" s="348" t="s">
        <v>186</v>
      </c>
      <c r="W37" s="348"/>
      <c r="X37" s="348"/>
      <c r="Y37" s="349"/>
    </row>
    <row r="38" spans="2:25" ht="27" x14ac:dyDescent="0.25">
      <c r="B38" s="345"/>
      <c r="C38" s="13" t="s">
        <v>25</v>
      </c>
      <c r="D38" s="21">
        <v>0.18</v>
      </c>
      <c r="E38" s="1" t="s">
        <v>102</v>
      </c>
      <c r="F38" s="15">
        <v>2400</v>
      </c>
      <c r="G38" s="1" t="s">
        <v>104</v>
      </c>
      <c r="H38" s="15">
        <f t="shared" si="4"/>
        <v>432</v>
      </c>
      <c r="I38" s="1" t="s">
        <v>105</v>
      </c>
      <c r="J38" s="129" t="s">
        <v>187</v>
      </c>
      <c r="K38" s="7" t="s">
        <v>97</v>
      </c>
      <c r="M38" s="18"/>
      <c r="N38" s="18"/>
      <c r="O38" s="18"/>
      <c r="S38" s="19" t="s">
        <v>56</v>
      </c>
      <c r="T38" s="1">
        <f>234.9/1000</f>
        <v>0.2349</v>
      </c>
      <c r="U38" s="1" t="s">
        <v>185</v>
      </c>
      <c r="V38" s="348" t="s">
        <v>419</v>
      </c>
      <c r="W38" s="348"/>
      <c r="X38" s="348"/>
      <c r="Y38" s="349"/>
    </row>
    <row r="39" spans="2:25" ht="27" x14ac:dyDescent="0.25">
      <c r="B39" s="345"/>
      <c r="C39" s="13" t="s">
        <v>188</v>
      </c>
      <c r="D39" s="21">
        <v>0.19</v>
      </c>
      <c r="E39" s="1" t="s">
        <v>102</v>
      </c>
      <c r="F39" s="15">
        <v>2400</v>
      </c>
      <c r="G39" s="1" t="s">
        <v>104</v>
      </c>
      <c r="H39" s="15">
        <f t="shared" si="4"/>
        <v>456</v>
      </c>
      <c r="I39" s="1" t="s">
        <v>105</v>
      </c>
      <c r="J39" s="129" t="s">
        <v>189</v>
      </c>
      <c r="K39" s="7" t="s">
        <v>97</v>
      </c>
      <c r="M39" s="18"/>
      <c r="N39" s="18"/>
      <c r="O39" s="18"/>
      <c r="S39" s="9" t="s">
        <v>57</v>
      </c>
      <c r="T39" s="240"/>
      <c r="U39" s="10" t="s">
        <v>185</v>
      </c>
      <c r="V39" s="350" t="s">
        <v>190</v>
      </c>
      <c r="W39" s="350"/>
      <c r="X39" s="350"/>
      <c r="Y39" s="351"/>
    </row>
    <row r="40" spans="2:25" ht="27" x14ac:dyDescent="0.25">
      <c r="B40" s="345"/>
      <c r="C40" s="13" t="s">
        <v>28</v>
      </c>
      <c r="D40" s="21">
        <v>1.9</v>
      </c>
      <c r="E40" s="1" t="s">
        <v>102</v>
      </c>
      <c r="F40" s="15">
        <v>0.2</v>
      </c>
      <c r="G40" s="1" t="s">
        <v>104</v>
      </c>
      <c r="H40" s="15">
        <f t="shared" si="4"/>
        <v>0.38</v>
      </c>
      <c r="I40" s="1" t="s">
        <v>105</v>
      </c>
      <c r="J40" s="129" t="s">
        <v>191</v>
      </c>
      <c r="K40" s="7" t="s">
        <v>97</v>
      </c>
    </row>
    <row r="41" spans="2:25" ht="27" x14ac:dyDescent="0.25">
      <c r="B41" s="345"/>
      <c r="C41" s="13" t="s">
        <v>192</v>
      </c>
      <c r="D41" s="21">
        <f>750/1000</f>
        <v>0.75</v>
      </c>
      <c r="E41" s="1" t="s">
        <v>166</v>
      </c>
      <c r="F41" s="58">
        <f>AVERAGE(3310,750,1300)</f>
        <v>1786.6666666666667</v>
      </c>
      <c r="G41" s="1" t="s">
        <v>104</v>
      </c>
      <c r="H41" s="58">
        <f>D41*F41</f>
        <v>1340</v>
      </c>
      <c r="I41" s="1" t="s">
        <v>105</v>
      </c>
      <c r="J41" s="129" t="s">
        <v>193</v>
      </c>
      <c r="K41" s="7" t="s">
        <v>97</v>
      </c>
    </row>
    <row r="42" spans="2:25" ht="44" customHeight="1" x14ac:dyDescent="0.3">
      <c r="B42" s="345"/>
      <c r="C42" s="28" t="s">
        <v>194</v>
      </c>
      <c r="D42" s="21">
        <v>0.48</v>
      </c>
      <c r="E42" s="1" t="s">
        <v>102</v>
      </c>
      <c r="F42" s="15">
        <v>475</v>
      </c>
      <c r="G42" s="1" t="s">
        <v>104</v>
      </c>
      <c r="H42" s="15">
        <f t="shared" si="4"/>
        <v>228</v>
      </c>
      <c r="I42" s="1" t="s">
        <v>105</v>
      </c>
      <c r="J42" s="129" t="s">
        <v>195</v>
      </c>
      <c r="K42" s="7" t="s">
        <v>97</v>
      </c>
      <c r="S42" s="347" t="s">
        <v>372</v>
      </c>
      <c r="T42" s="347"/>
      <c r="U42" s="347"/>
      <c r="V42" s="347"/>
      <c r="W42" s="347"/>
    </row>
    <row r="43" spans="2:25" ht="54" x14ac:dyDescent="0.25">
      <c r="B43" s="345"/>
      <c r="C43" s="28" t="s">
        <v>196</v>
      </c>
      <c r="D43" s="21">
        <v>0.41</v>
      </c>
      <c r="E43" s="1" t="s">
        <v>102</v>
      </c>
      <c r="F43" s="15">
        <v>425</v>
      </c>
      <c r="G43" s="1" t="s">
        <v>104</v>
      </c>
      <c r="H43" s="15">
        <f t="shared" si="4"/>
        <v>174.25</v>
      </c>
      <c r="I43" s="1" t="s">
        <v>105</v>
      </c>
      <c r="J43" s="129" t="s">
        <v>197</v>
      </c>
      <c r="K43" s="7" t="s">
        <v>97</v>
      </c>
      <c r="S43" s="118" t="s">
        <v>198</v>
      </c>
      <c r="T43" s="119" t="s">
        <v>199</v>
      </c>
      <c r="U43" s="119" t="s">
        <v>200</v>
      </c>
      <c r="V43" s="119" t="s">
        <v>201</v>
      </c>
      <c r="W43" s="120" t="s">
        <v>202</v>
      </c>
    </row>
    <row r="44" spans="2:25" ht="27" x14ac:dyDescent="0.25">
      <c r="B44" s="345"/>
      <c r="C44" s="13" t="s">
        <v>203</v>
      </c>
      <c r="D44" s="21">
        <v>0.4</v>
      </c>
      <c r="E44" s="1" t="s">
        <v>102</v>
      </c>
      <c r="F44" s="15">
        <v>304</v>
      </c>
      <c r="G44" s="1" t="s">
        <v>104</v>
      </c>
      <c r="H44" s="15">
        <f t="shared" si="4"/>
        <v>121.60000000000001</v>
      </c>
      <c r="I44" s="1" t="s">
        <v>105</v>
      </c>
      <c r="J44" s="129" t="s">
        <v>204</v>
      </c>
      <c r="K44" s="7" t="s">
        <v>97</v>
      </c>
      <c r="S44" s="12" t="s">
        <v>205</v>
      </c>
      <c r="T44" s="4" t="s">
        <v>206</v>
      </c>
      <c r="U44" s="68">
        <f>T61/T62*0.5</f>
        <v>9.4339622641509441E-2</v>
      </c>
      <c r="V44" s="81">
        <v>0.9</v>
      </c>
      <c r="W44" s="86">
        <f>U44*T13*V44+U44*V45*T18*1</f>
        <v>8.0171132075471707</v>
      </c>
    </row>
    <row r="45" spans="2:25" ht="40.5" x14ac:dyDescent="0.25">
      <c r="B45" s="345"/>
      <c r="C45" s="13" t="s">
        <v>207</v>
      </c>
      <c r="D45" s="21">
        <v>7.0000000000000001E-3</v>
      </c>
      <c r="E45" s="1" t="s">
        <v>102</v>
      </c>
      <c r="F45" s="15">
        <v>1500</v>
      </c>
      <c r="G45" s="1" t="s">
        <v>104</v>
      </c>
      <c r="H45" s="15">
        <f t="shared" si="4"/>
        <v>10.5</v>
      </c>
      <c r="I45" s="1" t="s">
        <v>105</v>
      </c>
      <c r="J45" s="129" t="s">
        <v>208</v>
      </c>
      <c r="K45" s="7" t="s">
        <v>97</v>
      </c>
      <c r="M45" s="79"/>
      <c r="N45" s="79"/>
      <c r="S45" s="8"/>
      <c r="T45" s="36" t="s">
        <v>209</v>
      </c>
      <c r="U45" s="18"/>
      <c r="V45" s="83">
        <v>0.1</v>
      </c>
      <c r="W45" s="87"/>
    </row>
    <row r="46" spans="2:25" ht="26.5" customHeight="1" x14ac:dyDescent="0.25">
      <c r="B46" s="345"/>
      <c r="C46" s="13" t="s">
        <v>210</v>
      </c>
      <c r="D46" s="21">
        <v>0.06</v>
      </c>
      <c r="E46" s="1" t="s">
        <v>102</v>
      </c>
      <c r="F46" s="15">
        <v>2700</v>
      </c>
      <c r="G46" s="1" t="s">
        <v>104</v>
      </c>
      <c r="H46" s="15">
        <f>D46*F46</f>
        <v>162</v>
      </c>
      <c r="I46" s="1" t="s">
        <v>105</v>
      </c>
      <c r="J46" s="129" t="s">
        <v>211</v>
      </c>
      <c r="K46" s="7" t="s">
        <v>97</v>
      </c>
      <c r="S46" s="66" t="s">
        <v>48</v>
      </c>
      <c r="T46" s="4" t="s">
        <v>206</v>
      </c>
      <c r="U46" s="68">
        <f>T64/T65*0.5</f>
        <v>4.716981132075472E-2</v>
      </c>
      <c r="V46" s="81">
        <v>0.9</v>
      </c>
      <c r="W46" s="86">
        <f>T13*U46*V46+U46*V47*T18*1</f>
        <v>4.0085566037735854</v>
      </c>
    </row>
    <row r="47" spans="2:25" ht="40.5" x14ac:dyDescent="0.25">
      <c r="B47" s="345"/>
      <c r="C47" s="28" t="s">
        <v>212</v>
      </c>
      <c r="D47" s="21">
        <v>0.12</v>
      </c>
      <c r="E47" s="1" t="s">
        <v>102</v>
      </c>
      <c r="F47" s="15">
        <v>2700</v>
      </c>
      <c r="G47" s="1" t="s">
        <v>104</v>
      </c>
      <c r="H47" s="15">
        <f t="shared" si="4"/>
        <v>324</v>
      </c>
      <c r="I47" s="1" t="s">
        <v>105</v>
      </c>
      <c r="J47" s="129" t="s">
        <v>213</v>
      </c>
      <c r="K47" s="7" t="s">
        <v>97</v>
      </c>
      <c r="S47" s="8"/>
      <c r="T47" s="36" t="s">
        <v>209</v>
      </c>
      <c r="V47" s="83">
        <v>0.1</v>
      </c>
      <c r="W47" s="87"/>
    </row>
    <row r="48" spans="2:25" x14ac:dyDescent="0.25">
      <c r="B48" s="345"/>
      <c r="C48" s="13" t="s">
        <v>214</v>
      </c>
      <c r="D48" s="15">
        <v>2.52</v>
      </c>
      <c r="E48" s="1" t="s">
        <v>102</v>
      </c>
      <c r="F48" s="15">
        <f>1.05*1000</f>
        <v>1050</v>
      </c>
      <c r="G48" s="1" t="s">
        <v>104</v>
      </c>
      <c r="H48" s="15">
        <f t="shared" si="4"/>
        <v>2646</v>
      </c>
      <c r="I48" s="1" t="s">
        <v>105</v>
      </c>
      <c r="J48" s="129" t="s">
        <v>215</v>
      </c>
      <c r="K48" s="7" t="s">
        <v>97</v>
      </c>
      <c r="M48" s="79"/>
      <c r="N48" s="79"/>
      <c r="S48" s="63" t="s">
        <v>216</v>
      </c>
      <c r="T48" s="22" t="s">
        <v>217</v>
      </c>
      <c r="U48" s="22">
        <f>T68/T69*0.5</f>
        <v>5.0000000000000001E-3</v>
      </c>
      <c r="V48" s="85">
        <v>1</v>
      </c>
      <c r="W48" s="88">
        <f>T9*U48*V48</f>
        <v>0.19169999999999998</v>
      </c>
    </row>
    <row r="49" spans="2:24" ht="27" x14ac:dyDescent="0.25">
      <c r="B49" s="345"/>
      <c r="C49" s="13" t="s">
        <v>218</v>
      </c>
      <c r="D49" s="21">
        <v>5.0000000000000001E-3</v>
      </c>
      <c r="E49" s="1" t="s">
        <v>102</v>
      </c>
      <c r="F49" s="15">
        <v>1500</v>
      </c>
      <c r="G49" s="1" t="s">
        <v>104</v>
      </c>
      <c r="H49" s="15">
        <f t="shared" si="4"/>
        <v>7.5</v>
      </c>
      <c r="I49" s="1" t="s">
        <v>105</v>
      </c>
      <c r="J49" s="129" t="s">
        <v>219</v>
      </c>
      <c r="K49" s="7" t="s">
        <v>97</v>
      </c>
      <c r="S49" s="8" t="s">
        <v>220</v>
      </c>
      <c r="T49" s="1" t="s">
        <v>221</v>
      </c>
      <c r="V49" s="83">
        <v>0.1</v>
      </c>
      <c r="W49" s="89">
        <f>U50*V49*T18*1+U50*V50*T18+U50*V51*T9</f>
        <v>29.192845528455287</v>
      </c>
    </row>
    <row r="50" spans="2:24" ht="27" x14ac:dyDescent="0.25">
      <c r="B50" s="345"/>
      <c r="C50" s="28" t="s">
        <v>222</v>
      </c>
      <c r="D50" s="21">
        <v>0.22</v>
      </c>
      <c r="E50" s="1" t="s">
        <v>102</v>
      </c>
      <c r="F50" s="15">
        <v>1300</v>
      </c>
      <c r="G50" s="1" t="s">
        <v>104</v>
      </c>
      <c r="H50" s="15">
        <f t="shared" si="4"/>
        <v>286</v>
      </c>
      <c r="I50" s="1" t="s">
        <v>105</v>
      </c>
      <c r="J50" s="129" t="s">
        <v>223</v>
      </c>
      <c r="K50" s="7" t="s">
        <v>97</v>
      </c>
      <c r="S50" s="8"/>
      <c r="T50" s="1" t="s">
        <v>224</v>
      </c>
      <c r="U50" s="76">
        <f>T73/T74*0.5</f>
        <v>0.52032520325203258</v>
      </c>
      <c r="V50" s="83">
        <v>0.4</v>
      </c>
      <c r="W50" s="87"/>
    </row>
    <row r="51" spans="2:24" x14ac:dyDescent="0.25">
      <c r="B51" s="345"/>
      <c r="C51" s="13" t="s">
        <v>225</v>
      </c>
      <c r="D51" s="21">
        <v>0.28000000000000003</v>
      </c>
      <c r="E51" s="1" t="s">
        <v>102</v>
      </c>
      <c r="F51" s="15">
        <v>1300</v>
      </c>
      <c r="G51" s="1" t="s">
        <v>104</v>
      </c>
      <c r="H51" s="15">
        <f t="shared" si="4"/>
        <v>364.00000000000006</v>
      </c>
      <c r="I51" s="1" t="s">
        <v>105</v>
      </c>
      <c r="J51" s="129" t="s">
        <v>226</v>
      </c>
      <c r="K51" s="7" t="s">
        <v>97</v>
      </c>
      <c r="S51" s="9"/>
      <c r="T51" s="10" t="s">
        <v>227</v>
      </c>
      <c r="U51" s="10"/>
      <c r="V51" s="82">
        <v>0.5</v>
      </c>
      <c r="W51" s="90"/>
    </row>
    <row r="52" spans="2:24" ht="27" x14ac:dyDescent="0.25">
      <c r="B52" s="345"/>
      <c r="C52" s="230"/>
      <c r="D52" s="231"/>
      <c r="E52" s="232"/>
      <c r="F52" s="231"/>
      <c r="G52" s="232"/>
      <c r="H52" s="231"/>
      <c r="I52" s="232"/>
      <c r="J52" s="231"/>
      <c r="K52" s="234"/>
      <c r="S52" s="9" t="s">
        <v>84</v>
      </c>
      <c r="T52" s="67" t="s">
        <v>228</v>
      </c>
      <c r="U52" s="84">
        <f>T76/T77*0.5</f>
        <v>8.3333333333333332E-3</v>
      </c>
      <c r="V52" s="82">
        <v>1</v>
      </c>
      <c r="W52" s="91">
        <f>T10*U52*V52</f>
        <v>0.64859999999999995</v>
      </c>
    </row>
    <row r="53" spans="2:24" x14ac:dyDescent="0.25">
      <c r="B53" s="345"/>
      <c r="C53" s="230"/>
      <c r="D53" s="231"/>
      <c r="E53" s="232"/>
      <c r="F53" s="231"/>
      <c r="G53" s="232"/>
      <c r="H53" s="231"/>
      <c r="I53" s="232"/>
      <c r="J53" s="231"/>
      <c r="K53" s="234"/>
      <c r="S53" s="12" t="s">
        <v>229</v>
      </c>
      <c r="T53" s="4" t="s">
        <v>230</v>
      </c>
      <c r="U53" s="4">
        <f>T80/T81*0.5</f>
        <v>2.5000000000000001E-3</v>
      </c>
      <c r="V53" s="81">
        <v>0.75</v>
      </c>
      <c r="W53" s="86">
        <f>U53*V53*T19+U53*V54*T13</f>
        <v>0.113755625</v>
      </c>
      <c r="X53" s="16" t="s">
        <v>312</v>
      </c>
    </row>
    <row r="54" spans="2:24" x14ac:dyDescent="0.25">
      <c r="B54" s="345"/>
      <c r="C54" s="230"/>
      <c r="D54" s="231"/>
      <c r="E54" s="232"/>
      <c r="F54" s="231"/>
      <c r="G54" s="232"/>
      <c r="H54" s="231"/>
      <c r="I54" s="232"/>
      <c r="J54" s="231"/>
      <c r="K54" s="234"/>
      <c r="S54" s="9"/>
      <c r="T54" s="10" t="s">
        <v>206</v>
      </c>
      <c r="U54" s="10"/>
      <c r="V54" s="82">
        <v>0.25</v>
      </c>
      <c r="W54" s="90"/>
    </row>
    <row r="55" spans="2:24" x14ac:dyDescent="0.25">
      <c r="B55" s="345"/>
      <c r="C55" s="243"/>
      <c r="D55" s="236"/>
      <c r="E55" s="232"/>
      <c r="F55" s="231"/>
      <c r="G55" s="232"/>
      <c r="H55" s="231"/>
      <c r="I55" s="232"/>
      <c r="J55" s="231"/>
      <c r="K55" s="234"/>
      <c r="S55" s="12" t="s">
        <v>231</v>
      </c>
      <c r="T55" s="4" t="s">
        <v>232</v>
      </c>
      <c r="U55" s="80">
        <f>T84/T85*0.5</f>
        <v>2.2831050228310501E-3</v>
      </c>
      <c r="V55" s="81">
        <v>0.75</v>
      </c>
      <c r="W55" s="86">
        <f>U55*V55*T19+U55*V56*T13</f>
        <v>0.10388641552511416</v>
      </c>
    </row>
    <row r="56" spans="2:24" x14ac:dyDescent="0.25">
      <c r="B56" s="345"/>
      <c r="C56" s="243"/>
      <c r="D56" s="236"/>
      <c r="E56" s="232"/>
      <c r="F56" s="231"/>
      <c r="G56" s="232"/>
      <c r="H56" s="231"/>
      <c r="I56" s="232"/>
      <c r="J56" s="231"/>
      <c r="K56" s="234"/>
      <c r="S56" s="9"/>
      <c r="T56" s="10" t="s">
        <v>206</v>
      </c>
      <c r="U56" s="10"/>
      <c r="V56" s="82">
        <v>0.25</v>
      </c>
      <c r="W56" s="90"/>
      <c r="X56" s="16" t="s">
        <v>312</v>
      </c>
    </row>
    <row r="57" spans="2:24" x14ac:dyDescent="0.25">
      <c r="B57" s="345"/>
      <c r="C57" s="243"/>
      <c r="D57" s="236"/>
      <c r="E57" s="232"/>
      <c r="F57" s="231"/>
      <c r="G57" s="232"/>
      <c r="H57" s="231"/>
      <c r="I57" s="232"/>
      <c r="J57" s="231"/>
      <c r="K57" s="234"/>
      <c r="S57" s="1" t="s">
        <v>233</v>
      </c>
    </row>
    <row r="58" spans="2:24" x14ac:dyDescent="0.25">
      <c r="B58" s="345"/>
      <c r="C58" s="243"/>
      <c r="D58" s="236"/>
      <c r="E58" s="232"/>
      <c r="F58" s="231"/>
      <c r="G58" s="232"/>
      <c r="H58" s="231"/>
      <c r="I58" s="232"/>
      <c r="J58" s="231"/>
      <c r="K58" s="234"/>
    </row>
    <row r="59" spans="2:24" x14ac:dyDescent="0.25">
      <c r="B59" s="345"/>
      <c r="C59" s="238"/>
      <c r="D59" s="239"/>
      <c r="E59" s="240"/>
      <c r="F59" s="239"/>
      <c r="G59" s="240"/>
      <c r="H59" s="239"/>
      <c r="I59" s="240"/>
      <c r="J59" s="239"/>
      <c r="K59" s="242"/>
      <c r="S59" s="121" t="s">
        <v>234</v>
      </c>
      <c r="T59" s="122"/>
      <c r="U59" s="122"/>
      <c r="V59" s="122"/>
      <c r="W59" s="123" t="s">
        <v>91</v>
      </c>
    </row>
    <row r="60" spans="2:24" x14ac:dyDescent="0.25">
      <c r="E60" s="16"/>
      <c r="F60" s="16"/>
      <c r="G60" s="16"/>
      <c r="H60" s="16"/>
      <c r="I60" s="16"/>
      <c r="S60" s="12" t="s">
        <v>205</v>
      </c>
      <c r="T60" s="344" t="s">
        <v>235</v>
      </c>
      <c r="U60" s="344"/>
      <c r="V60" s="344"/>
      <c r="W60" s="69" t="s">
        <v>236</v>
      </c>
      <c r="X60" s="16" t="s">
        <v>312</v>
      </c>
    </row>
    <row r="61" spans="2:24" x14ac:dyDescent="0.25">
      <c r="S61" s="70" t="s">
        <v>237</v>
      </c>
      <c r="T61" s="1">
        <f>AVERAGE(1*7.5,3*7.5)</f>
        <v>15</v>
      </c>
      <c r="U61" s="1" t="s">
        <v>50</v>
      </c>
      <c r="W61" s="7"/>
      <c r="X61" s="16" t="s">
        <v>312</v>
      </c>
    </row>
    <row r="62" spans="2:24" x14ac:dyDescent="0.25">
      <c r="S62" s="70" t="s">
        <v>238</v>
      </c>
      <c r="T62" s="1">
        <f>150*0.2*2.65</f>
        <v>79.5</v>
      </c>
      <c r="U62" s="1" t="s">
        <v>239</v>
      </c>
      <c r="W62" s="7"/>
      <c r="X62" s="16" t="s">
        <v>312</v>
      </c>
    </row>
    <row r="63" spans="2:24" ht="27" x14ac:dyDescent="0.25">
      <c r="S63" s="66" t="s">
        <v>48</v>
      </c>
      <c r="T63" s="4" t="s">
        <v>240</v>
      </c>
      <c r="U63" s="4"/>
      <c r="V63" s="4"/>
      <c r="W63" s="5"/>
      <c r="X63" s="16" t="s">
        <v>312</v>
      </c>
    </row>
    <row r="64" spans="2:24" x14ac:dyDescent="0.25">
      <c r="S64" s="71" t="s">
        <v>237</v>
      </c>
      <c r="T64" s="1">
        <f>7.5*1</f>
        <v>7.5</v>
      </c>
      <c r="U64" s="1" t="s">
        <v>50</v>
      </c>
      <c r="W64" s="7"/>
      <c r="X64" s="16" t="s">
        <v>312</v>
      </c>
    </row>
    <row r="65" spans="19:27" x14ac:dyDescent="0.25">
      <c r="S65" s="70" t="s">
        <v>238</v>
      </c>
      <c r="T65" s="1">
        <f>50*3*0.2*S89</f>
        <v>79.5</v>
      </c>
      <c r="U65" s="1" t="s">
        <v>239</v>
      </c>
      <c r="W65" s="7"/>
      <c r="X65" s="16" t="s">
        <v>312</v>
      </c>
    </row>
    <row r="66" spans="19:27" x14ac:dyDescent="0.25">
      <c r="S66" s="74" t="s">
        <v>216</v>
      </c>
      <c r="T66" s="4"/>
      <c r="U66" s="4"/>
      <c r="V66" s="4"/>
      <c r="W66" s="5"/>
      <c r="X66" s="16" t="s">
        <v>312</v>
      </c>
    </row>
    <row r="67" spans="19:27" x14ac:dyDescent="0.25">
      <c r="S67" s="71" t="s">
        <v>241</v>
      </c>
      <c r="T67" s="1">
        <v>100</v>
      </c>
      <c r="U67" s="1" t="s">
        <v>242</v>
      </c>
      <c r="W67" s="7" t="s">
        <v>243</v>
      </c>
      <c r="X67" s="16" t="s">
        <v>312</v>
      </c>
    </row>
    <row r="68" spans="19:27" x14ac:dyDescent="0.25">
      <c r="S68" s="71" t="s">
        <v>237</v>
      </c>
      <c r="T68" s="1">
        <f>T69/100</f>
        <v>0.01</v>
      </c>
      <c r="U68" s="1" t="s">
        <v>50</v>
      </c>
      <c r="W68" s="7"/>
      <c r="X68" s="16" t="s">
        <v>312</v>
      </c>
    </row>
    <row r="69" spans="19:27" x14ac:dyDescent="0.25">
      <c r="S69" s="77" t="s">
        <v>238</v>
      </c>
      <c r="T69" s="10">
        <v>1</v>
      </c>
      <c r="U69" s="10" t="s">
        <v>239</v>
      </c>
      <c r="V69" s="10"/>
      <c r="W69" s="11"/>
      <c r="X69" s="16" t="s">
        <v>312</v>
      </c>
    </row>
    <row r="70" spans="19:27" x14ac:dyDescent="0.25">
      <c r="S70" s="74" t="s">
        <v>220</v>
      </c>
      <c r="T70" s="4"/>
      <c r="U70" s="4"/>
      <c r="V70" s="4"/>
      <c r="W70" s="5" t="s">
        <v>244</v>
      </c>
      <c r="X70" s="16" t="s">
        <v>312</v>
      </c>
    </row>
    <row r="71" spans="19:27" x14ac:dyDescent="0.25">
      <c r="S71" s="71" t="s">
        <v>245</v>
      </c>
      <c r="T71" s="1">
        <v>205</v>
      </c>
      <c r="U71" s="1" t="s">
        <v>246</v>
      </c>
      <c r="W71" s="7" t="s">
        <v>247</v>
      </c>
      <c r="X71" s="16" t="s">
        <v>312</v>
      </c>
    </row>
    <row r="72" spans="19:27" x14ac:dyDescent="0.25">
      <c r="S72" s="71" t="s">
        <v>248</v>
      </c>
      <c r="T72" s="1">
        <v>1500</v>
      </c>
      <c r="U72" s="1" t="s">
        <v>104</v>
      </c>
      <c r="W72" s="7"/>
      <c r="X72" s="16" t="s">
        <v>312</v>
      </c>
    </row>
    <row r="73" spans="19:27" x14ac:dyDescent="0.25">
      <c r="S73" s="71" t="s">
        <v>237</v>
      </c>
      <c r="T73" s="1">
        <v>32</v>
      </c>
      <c r="U73" s="1" t="s">
        <v>50</v>
      </c>
      <c r="W73" s="7" t="s">
        <v>247</v>
      </c>
      <c r="X73" s="16" t="s">
        <v>312</v>
      </c>
    </row>
    <row r="74" spans="19:27" x14ac:dyDescent="0.25">
      <c r="S74" s="71" t="s">
        <v>238</v>
      </c>
      <c r="T74" s="1">
        <f>T71*0.1*T72/1000</f>
        <v>30.75</v>
      </c>
      <c r="U74" s="1" t="s">
        <v>239</v>
      </c>
      <c r="W74" s="7"/>
    </row>
    <row r="75" spans="19:27" x14ac:dyDescent="0.25">
      <c r="S75" s="74" t="s">
        <v>84</v>
      </c>
      <c r="T75" s="4"/>
      <c r="U75" s="4"/>
      <c r="V75" s="4"/>
      <c r="W75" s="5" t="s">
        <v>249</v>
      </c>
      <c r="X75" s="16" t="s">
        <v>312</v>
      </c>
    </row>
    <row r="76" spans="19:27" x14ac:dyDescent="0.25">
      <c r="S76" s="71" t="s">
        <v>237</v>
      </c>
      <c r="T76" s="79">
        <f>10/60</f>
        <v>0.16666666666666666</v>
      </c>
      <c r="U76" s="1" t="s">
        <v>250</v>
      </c>
      <c r="W76" s="7"/>
      <c r="X76" s="16" t="s">
        <v>312</v>
      </c>
    </row>
    <row r="77" spans="19:27" x14ac:dyDescent="0.25">
      <c r="S77" s="77" t="s">
        <v>238</v>
      </c>
      <c r="T77" s="10">
        <v>10</v>
      </c>
      <c r="U77" s="10" t="s">
        <v>251</v>
      </c>
      <c r="V77" s="10"/>
      <c r="W77" s="11"/>
      <c r="X77" s="16" t="s">
        <v>312</v>
      </c>
      <c r="Z77" s="18"/>
      <c r="AA77" s="18"/>
    </row>
    <row r="78" spans="19:27" x14ac:dyDescent="0.25">
      <c r="S78" s="73" t="s">
        <v>229</v>
      </c>
      <c r="W78" s="7"/>
      <c r="X78" s="16" t="s">
        <v>312</v>
      </c>
    </row>
    <row r="79" spans="19:27" x14ac:dyDescent="0.25">
      <c r="S79" s="71" t="s">
        <v>241</v>
      </c>
      <c r="T79" s="1">
        <v>200</v>
      </c>
      <c r="U79" s="1" t="s">
        <v>242</v>
      </c>
      <c r="W79" s="7" t="s">
        <v>252</v>
      </c>
      <c r="X79" s="16" t="s">
        <v>312</v>
      </c>
    </row>
    <row r="80" spans="19:27" x14ac:dyDescent="0.25">
      <c r="S80" s="71" t="s">
        <v>237</v>
      </c>
      <c r="T80" s="1">
        <f>T81/T79</f>
        <v>5.0000000000000001E-3</v>
      </c>
      <c r="U80" s="1" t="s">
        <v>50</v>
      </c>
      <c r="W80" s="7"/>
      <c r="X80" s="16" t="s">
        <v>312</v>
      </c>
    </row>
    <row r="81" spans="19:24" x14ac:dyDescent="0.25">
      <c r="S81" s="71" t="s">
        <v>238</v>
      </c>
      <c r="T81" s="1">
        <v>1</v>
      </c>
      <c r="U81" s="1" t="s">
        <v>253</v>
      </c>
      <c r="W81" s="7"/>
      <c r="X81" s="16" t="s">
        <v>312</v>
      </c>
    </row>
    <row r="82" spans="19:24" x14ac:dyDescent="0.25">
      <c r="S82" s="74" t="s">
        <v>231</v>
      </c>
      <c r="T82" s="4"/>
      <c r="U82" s="4"/>
      <c r="V82" s="4"/>
      <c r="W82" s="5"/>
      <c r="X82" s="16" t="s">
        <v>312</v>
      </c>
    </row>
    <row r="83" spans="19:24" x14ac:dyDescent="0.25">
      <c r="S83" s="71" t="s">
        <v>241</v>
      </c>
      <c r="T83" s="1">
        <f>AVERAGE(38,400)</f>
        <v>219</v>
      </c>
      <c r="U83" s="1" t="s">
        <v>242</v>
      </c>
      <c r="W83" s="7" t="s">
        <v>254</v>
      </c>
      <c r="X83" s="16" t="s">
        <v>312</v>
      </c>
    </row>
    <row r="84" spans="19:24" x14ac:dyDescent="0.25">
      <c r="S84" s="71" t="s">
        <v>237</v>
      </c>
      <c r="T84" s="78">
        <f>T85/T83</f>
        <v>4.5662100456621002E-3</v>
      </c>
      <c r="U84" s="1" t="s">
        <v>253</v>
      </c>
      <c r="W84" s="7"/>
    </row>
    <row r="85" spans="19:24" x14ac:dyDescent="0.25">
      <c r="S85" s="71" t="s">
        <v>238</v>
      </c>
      <c r="T85" s="1">
        <v>1</v>
      </c>
      <c r="U85" s="1" t="s">
        <v>253</v>
      </c>
      <c r="W85" s="7"/>
    </row>
    <row r="86" spans="19:24" x14ac:dyDescent="0.25">
      <c r="S86" s="72"/>
      <c r="T86" s="10"/>
      <c r="U86" s="10"/>
      <c r="V86" s="10"/>
      <c r="W86" s="11"/>
    </row>
    <row r="88" spans="19:24" ht="30" customHeight="1" x14ac:dyDescent="0.25">
      <c r="S88" s="1" t="s">
        <v>255</v>
      </c>
    </row>
    <row r="89" spans="19:24" x14ac:dyDescent="0.25">
      <c r="S89" s="1">
        <v>2.65</v>
      </c>
      <c r="T89" s="1" t="s">
        <v>256</v>
      </c>
    </row>
    <row r="106" spans="25:25" x14ac:dyDescent="0.25">
      <c r="Y106" s="75"/>
    </row>
  </sheetData>
  <sheetProtection algorithmName="SHA-512" hashValue="mvxMommUtXFlEEDYzALoPKZz252FY6MebsMUfgRobJ9NTo472wUzFpYJxgrSJOZ2QN3zBPkmXDq1EfIs/IEvmA==" saltValue="jtbloycPG9vCokbB3DtbBg==" spinCount="100000" sheet="1" objects="1" scenarios="1"/>
  <mergeCells count="8">
    <mergeCell ref="T60:V60"/>
    <mergeCell ref="B35:B59"/>
    <mergeCell ref="B5:B34"/>
    <mergeCell ref="S42:W42"/>
    <mergeCell ref="V37:Y37"/>
    <mergeCell ref="V38:Y38"/>
    <mergeCell ref="V39:Y39"/>
    <mergeCell ref="S34:Y34"/>
  </mergeCells>
  <phoneticPr fontId="2" type="noConversion"/>
  <hyperlinks>
    <hyperlink ref="W60" r:id="rId1" xr:uid="{C04D3CE2-246D-4AB8-9D24-F8DAC9A9F76D}"/>
  </hyperlinks>
  <pageMargins left="0.7" right="0.7" top="0.75" bottom="0.75" header="0.3" footer="0.3"/>
  <pageSetup paperSize="9" orientation="portrait" r:id="rId2"/>
  <drawing r:id="rId3"/>
  <legacy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1A093-BCEA-4C5C-BA8C-DF44FDDB013D}">
  <sheetPr>
    <tabColor theme="6" tint="0.79998168889431442"/>
  </sheetPr>
  <dimension ref="B3:AE92"/>
  <sheetViews>
    <sheetView topLeftCell="A28" zoomScale="60" zoomScaleNormal="60" workbookViewId="0">
      <selection activeCell="I7" sqref="I7"/>
    </sheetView>
  </sheetViews>
  <sheetFormatPr defaultColWidth="9.2109375" defaultRowHeight="13.5" x14ac:dyDescent="0.25"/>
  <cols>
    <col min="1" max="1" width="9.2109375" style="1"/>
    <col min="2" max="2" width="35" style="1" customWidth="1"/>
    <col min="3" max="3" width="13.5703125" style="1" customWidth="1"/>
    <col min="4" max="4" width="9.2109375" style="1"/>
    <col min="5" max="5" width="12.0703125" style="1" customWidth="1"/>
    <col min="6" max="6" width="9.2109375" style="1"/>
    <col min="7" max="7" width="18.640625" style="1" customWidth="1"/>
    <col min="8" max="9" width="9.2109375" style="1"/>
    <col min="10" max="10" width="13.0703125" style="1" customWidth="1"/>
    <col min="11" max="11" width="9.2109375" style="1"/>
    <col min="12" max="12" width="13.78515625" style="1" customWidth="1"/>
    <col min="13" max="13" width="10.35546875" style="1" bestFit="1" customWidth="1"/>
    <col min="14" max="29" width="9.2109375" style="1"/>
    <col min="30" max="30" width="39.7109375" style="1" customWidth="1"/>
    <col min="31" max="31" width="17" style="1" customWidth="1"/>
    <col min="32" max="16384" width="9.2109375" style="1"/>
  </cols>
  <sheetData>
    <row r="3" spans="2:16" ht="19" thickBot="1" x14ac:dyDescent="0.4">
      <c r="B3" s="2" t="s">
        <v>257</v>
      </c>
    </row>
    <row r="4" spans="2:16" ht="14" thickTop="1" x14ac:dyDescent="0.25"/>
    <row r="14" spans="2:16" ht="55" customHeight="1" x14ac:dyDescent="0.25">
      <c r="B14" s="188" t="s">
        <v>34</v>
      </c>
      <c r="C14" s="189" t="s">
        <v>258</v>
      </c>
      <c r="D14" s="188"/>
      <c r="E14" s="189" t="s">
        <v>259</v>
      </c>
      <c r="F14" s="188"/>
      <c r="G14" s="189" t="s">
        <v>89</v>
      </c>
      <c r="H14" s="103"/>
      <c r="I14" s="186"/>
      <c r="J14" s="195" t="s">
        <v>358</v>
      </c>
      <c r="K14" s="196" t="s">
        <v>258</v>
      </c>
      <c r="L14" s="196"/>
      <c r="M14" s="196" t="s">
        <v>259</v>
      </c>
      <c r="N14" s="196"/>
      <c r="O14" s="196" t="s">
        <v>89</v>
      </c>
      <c r="P14" s="191"/>
    </row>
    <row r="15" spans="2:16" x14ac:dyDescent="0.25">
      <c r="B15" s="186" t="str">
        <f>Päästökertoimet!C6</f>
        <v>Asfalttibetoni (50 % uusio/neitseellinen)</v>
      </c>
      <c r="C15" s="246">
        <f>E15/G15</f>
        <v>2.7733333333333332E-2</v>
      </c>
      <c r="D15" s="103" t="s">
        <v>258</v>
      </c>
      <c r="E15" s="248">
        <f>0.4*(AVERAGE(25,17,10))/0.1</f>
        <v>69.333333333333329</v>
      </c>
      <c r="F15" s="103" t="s">
        <v>259</v>
      </c>
      <c r="G15" s="104">
        <f>VLOOKUP(B15,Päästökertoimet!$C$5:$K$60,4,FALSE)</f>
        <v>2500</v>
      </c>
      <c r="H15" s="103" t="s">
        <v>104</v>
      </c>
      <c r="I15" s="103"/>
      <c r="J15" s="191"/>
      <c r="K15" s="220">
        <f>M15/O15</f>
        <v>2.7733333333333332E-2</v>
      </c>
      <c r="L15" s="191" t="s">
        <v>258</v>
      </c>
      <c r="M15" s="193">
        <f>0.4*(AVERAGE(25,17,10))/0.1</f>
        <v>69.333333333333329</v>
      </c>
      <c r="N15" s="191" t="s">
        <v>259</v>
      </c>
      <c r="O15" s="193">
        <v>2500</v>
      </c>
      <c r="P15" s="191" t="s">
        <v>104</v>
      </c>
    </row>
    <row r="16" spans="2:16" x14ac:dyDescent="0.25">
      <c r="B16" s="186" t="str">
        <f>Päästökertoimet!C7</f>
        <v>Asfalttibetoni (30 % uusio)</v>
      </c>
      <c r="C16" s="246">
        <f>E16/G16</f>
        <v>2.7733333333333332E-2</v>
      </c>
      <c r="D16" s="103" t="s">
        <v>258</v>
      </c>
      <c r="E16" s="248">
        <f>0.4*(AVERAGE(25,17,10))/0.1</f>
        <v>69.333333333333329</v>
      </c>
      <c r="F16" s="103" t="s">
        <v>259</v>
      </c>
      <c r="G16" s="104">
        <f>VLOOKUP(B16,Päästökertoimet!$C$5:$K$60,4,FALSE)</f>
        <v>2500</v>
      </c>
      <c r="H16" s="103" t="s">
        <v>104</v>
      </c>
      <c r="I16" s="103"/>
      <c r="J16" s="191"/>
      <c r="K16" s="220">
        <f>M16/O16</f>
        <v>2.7733333333333332E-2</v>
      </c>
      <c r="L16" s="191" t="s">
        <v>258</v>
      </c>
      <c r="M16" s="193">
        <f>0.4*(AVERAGE(25,17,10))/0.1</f>
        <v>69.333333333333329</v>
      </c>
      <c r="N16" s="191" t="s">
        <v>259</v>
      </c>
      <c r="O16" s="193">
        <v>2500</v>
      </c>
      <c r="P16" s="191" t="s">
        <v>104</v>
      </c>
    </row>
    <row r="17" spans="2:16" x14ac:dyDescent="0.25">
      <c r="B17" s="186" t="str">
        <f>Päästökertoimet!C8</f>
        <v>Asfalttijätemurske (uusio)</v>
      </c>
      <c r="C17" s="247">
        <v>0</v>
      </c>
      <c r="D17" s="103" t="s">
        <v>258</v>
      </c>
      <c r="E17" s="248">
        <v>0</v>
      </c>
      <c r="F17" s="103" t="s">
        <v>259</v>
      </c>
      <c r="G17" s="104">
        <f>VLOOKUP(B17,Päästökertoimet!$C$5:$K$60,4,FALSE)</f>
        <v>2500</v>
      </c>
      <c r="H17" s="103" t="s">
        <v>104</v>
      </c>
      <c r="I17" s="103"/>
      <c r="J17" s="191"/>
      <c r="K17" s="191">
        <v>0</v>
      </c>
      <c r="L17" s="191" t="s">
        <v>258</v>
      </c>
      <c r="M17" s="191">
        <v>0</v>
      </c>
      <c r="N17" s="191" t="s">
        <v>259</v>
      </c>
      <c r="O17" s="193">
        <v>2500</v>
      </c>
      <c r="P17" s="191" t="s">
        <v>104</v>
      </c>
    </row>
    <row r="18" spans="2:16" x14ac:dyDescent="0.25">
      <c r="B18" s="186" t="str">
        <f>Päästökertoimet!C9</f>
        <v>Betonijätemurske (uusio)</v>
      </c>
      <c r="C18" s="247">
        <v>0</v>
      </c>
      <c r="D18" s="103" t="s">
        <v>258</v>
      </c>
      <c r="E18" s="248">
        <v>0</v>
      </c>
      <c r="F18" s="103" t="s">
        <v>259</v>
      </c>
      <c r="G18" s="104">
        <f>VLOOKUP(B18,Päästökertoimet!$C$5:$K$60,4,FALSE)</f>
        <v>2400</v>
      </c>
      <c r="H18" s="103" t="s">
        <v>104</v>
      </c>
      <c r="I18" s="103"/>
      <c r="J18" s="191"/>
      <c r="K18" s="191">
        <v>0</v>
      </c>
      <c r="L18" s="191" t="s">
        <v>258</v>
      </c>
      <c r="M18" s="191">
        <v>0</v>
      </c>
      <c r="N18" s="191" t="s">
        <v>259</v>
      </c>
      <c r="O18" s="193">
        <v>2400</v>
      </c>
      <c r="P18" s="191" t="s">
        <v>104</v>
      </c>
    </row>
    <row r="19" spans="2:16" x14ac:dyDescent="0.25">
      <c r="B19" s="186" t="str">
        <f>Päästökertoimet!C10</f>
        <v>Geopolymeeri (uusio)</v>
      </c>
      <c r="C19" s="247">
        <v>0</v>
      </c>
      <c r="D19" s="103" t="s">
        <v>258</v>
      </c>
      <c r="E19" s="248">
        <v>0</v>
      </c>
      <c r="F19" s="103" t="s">
        <v>259</v>
      </c>
      <c r="G19" s="104">
        <f>VLOOKUP(B19,Päästökertoimet!$C$5:$K$60,4,FALSE)</f>
        <v>2400</v>
      </c>
      <c r="H19" s="103" t="s">
        <v>104</v>
      </c>
      <c r="I19" s="103"/>
      <c r="J19" s="191"/>
      <c r="K19" s="191">
        <v>0</v>
      </c>
      <c r="L19" s="191" t="s">
        <v>258</v>
      </c>
      <c r="M19" s="191">
        <v>0</v>
      </c>
      <c r="N19" s="191" t="s">
        <v>259</v>
      </c>
      <c r="O19" s="193">
        <v>2400</v>
      </c>
      <c r="P19" s="191" t="s">
        <v>104</v>
      </c>
    </row>
    <row r="20" spans="2:16" x14ac:dyDescent="0.25">
      <c r="B20" s="186" t="str">
        <f>Päästökertoimet!C11</f>
        <v>Jätekalkki</v>
      </c>
      <c r="C20" s="247">
        <v>0</v>
      </c>
      <c r="D20" s="103" t="s">
        <v>258</v>
      </c>
      <c r="E20" s="248">
        <v>0</v>
      </c>
      <c r="F20" s="103" t="s">
        <v>259</v>
      </c>
      <c r="G20" s="104">
        <f>VLOOKUP(B20,Päästökertoimet!$C$5:$K$60,4,FALSE)</f>
        <v>1786.6666666666667</v>
      </c>
      <c r="H20" s="103" t="s">
        <v>104</v>
      </c>
      <c r="I20" s="103"/>
      <c r="J20" s="191"/>
      <c r="K20" s="191">
        <v>0</v>
      </c>
      <c r="L20" s="191" t="s">
        <v>258</v>
      </c>
      <c r="M20" s="191">
        <v>0</v>
      </c>
      <c r="N20" s="191" t="s">
        <v>259</v>
      </c>
      <c r="O20" s="193">
        <v>1786.6666666666667</v>
      </c>
      <c r="P20" s="191" t="s">
        <v>104</v>
      </c>
    </row>
    <row r="21" spans="2:16" x14ac:dyDescent="0.25">
      <c r="B21" s="186" t="str">
        <f>Päästökertoimet!C12</f>
        <v>Jätteenpolton pohjakuona (uusio)</v>
      </c>
      <c r="C21" s="247">
        <v>0</v>
      </c>
      <c r="D21" s="103" t="s">
        <v>258</v>
      </c>
      <c r="E21" s="248">
        <v>0</v>
      </c>
      <c r="F21" s="103" t="s">
        <v>259</v>
      </c>
      <c r="G21" s="104">
        <f>VLOOKUP(B21,Päästökertoimet!$C$5:$K$60,4,FALSE)</f>
        <v>2325</v>
      </c>
      <c r="H21" s="103" t="s">
        <v>104</v>
      </c>
      <c r="I21" s="103"/>
      <c r="J21" s="191"/>
      <c r="K21" s="191">
        <v>0</v>
      </c>
      <c r="L21" s="191" t="s">
        <v>258</v>
      </c>
      <c r="M21" s="191">
        <v>0</v>
      </c>
      <c r="N21" s="191" t="s">
        <v>259</v>
      </c>
      <c r="O21" s="193">
        <v>2325</v>
      </c>
      <c r="P21" s="191" t="s">
        <v>104</v>
      </c>
    </row>
    <row r="22" spans="2:16" x14ac:dyDescent="0.25">
      <c r="B22" s="186" t="str">
        <f>Päästökertoimet!C13</f>
        <v>Kierrätyskasvualustat (uusio)</v>
      </c>
      <c r="C22" s="246">
        <f>E22/G22</f>
        <v>5.5200501253132826E-2</v>
      </c>
      <c r="D22" s="103" t="s">
        <v>258</v>
      </c>
      <c r="E22" s="248">
        <f>Aputaulukko!$L$88</f>
        <v>22.024999999999999</v>
      </c>
      <c r="F22" s="103" t="s">
        <v>259</v>
      </c>
      <c r="G22" s="104">
        <f>VLOOKUP(B22,Päästökertoimet!$C$5:$K$60,4,FALSE)</f>
        <v>399</v>
      </c>
      <c r="H22" s="103" t="s">
        <v>104</v>
      </c>
      <c r="I22" s="103"/>
      <c r="J22" s="191"/>
      <c r="K22" s="220">
        <f>M22/O22</f>
        <v>5.5200501253132826E-2</v>
      </c>
      <c r="L22" s="191" t="s">
        <v>258</v>
      </c>
      <c r="M22" s="192">
        <f>Aputaulukko!$L$88</f>
        <v>22.024999999999999</v>
      </c>
      <c r="N22" s="191" t="s">
        <v>259</v>
      </c>
      <c r="O22" s="193">
        <v>399</v>
      </c>
      <c r="P22" s="191" t="s">
        <v>104</v>
      </c>
    </row>
    <row r="23" spans="2:16" x14ac:dyDescent="0.25">
      <c r="B23" s="186" t="str">
        <f>Päästökertoimet!C14</f>
        <v>Lasimurske (uusio)</v>
      </c>
      <c r="C23" s="248">
        <f>Aputaulukko!$C$95</f>
        <v>1.238</v>
      </c>
      <c r="D23" s="103" t="s">
        <v>258</v>
      </c>
      <c r="E23" s="248">
        <f>C23*G23</f>
        <v>1838.43</v>
      </c>
      <c r="F23" s="103" t="s">
        <v>259</v>
      </c>
      <c r="G23" s="104">
        <f>VLOOKUP(B23,Päästökertoimet!$C$5:$K$60,4,FALSE)</f>
        <v>1485</v>
      </c>
      <c r="H23" s="103" t="s">
        <v>104</v>
      </c>
      <c r="I23" s="103"/>
      <c r="J23" s="191"/>
      <c r="K23" s="192">
        <f>Aputaulukko!$C$95</f>
        <v>1.238</v>
      </c>
      <c r="L23" s="191" t="s">
        <v>258</v>
      </c>
      <c r="M23" s="191">
        <f>K23*O23</f>
        <v>1838.43</v>
      </c>
      <c r="N23" s="191" t="s">
        <v>259</v>
      </c>
      <c r="O23" s="193">
        <v>1485</v>
      </c>
      <c r="P23" s="191" t="s">
        <v>104</v>
      </c>
    </row>
    <row r="24" spans="2:16" x14ac:dyDescent="0.25">
      <c r="B24" s="186" t="str">
        <f>Päästökertoimet!C15</f>
        <v>Lentotuhka, kattilatuhka (uusio)</v>
      </c>
      <c r="C24" s="247">
        <v>0</v>
      </c>
      <c r="D24" s="103" t="s">
        <v>258</v>
      </c>
      <c r="E24" s="248">
        <v>0</v>
      </c>
      <c r="F24" s="103" t="s">
        <v>259</v>
      </c>
      <c r="G24" s="104">
        <f>VLOOKUP(B24,Päästökertoimet!$C$5:$K$60,4,FALSE)</f>
        <v>1250</v>
      </c>
      <c r="H24" s="103" t="s">
        <v>104</v>
      </c>
      <c r="I24" s="103"/>
      <c r="J24" s="191"/>
      <c r="K24" s="191">
        <v>0</v>
      </c>
      <c r="L24" s="191" t="s">
        <v>258</v>
      </c>
      <c r="M24" s="191">
        <v>0</v>
      </c>
      <c r="N24" s="191" t="s">
        <v>259</v>
      </c>
      <c r="O24" s="193">
        <v>1250</v>
      </c>
      <c r="P24" s="191" t="s">
        <v>104</v>
      </c>
    </row>
    <row r="25" spans="2:16" x14ac:dyDescent="0.25">
      <c r="B25" s="186" t="str">
        <f>Päästökertoimet!C16</f>
        <v>Meesa (uusio)</v>
      </c>
      <c r="C25" s="247">
        <v>0</v>
      </c>
      <c r="D25" s="103" t="s">
        <v>258</v>
      </c>
      <c r="E25" s="248">
        <v>0</v>
      </c>
      <c r="F25" s="103" t="s">
        <v>259</v>
      </c>
      <c r="G25" s="104">
        <f>VLOOKUP(B25,Päästökertoimet!$C$5:$K$60,4,FALSE)</f>
        <v>2825</v>
      </c>
      <c r="H25" s="103" t="s">
        <v>104</v>
      </c>
      <c r="I25" s="103"/>
      <c r="J25" s="191"/>
      <c r="K25" s="191">
        <v>0</v>
      </c>
      <c r="L25" s="191" t="s">
        <v>258</v>
      </c>
      <c r="M25" s="191">
        <v>0</v>
      </c>
      <c r="N25" s="191" t="s">
        <v>259</v>
      </c>
      <c r="O25" s="193">
        <v>2825</v>
      </c>
      <c r="P25" s="191" t="s">
        <v>104</v>
      </c>
    </row>
    <row r="26" spans="2:16" x14ac:dyDescent="0.25">
      <c r="B26" s="186" t="str">
        <f>Päästökertoimet!C17</f>
        <v>Okto-eriste (uusio)</v>
      </c>
      <c r="C26" s="248">
        <f>Aputaulukko!$H$95</f>
        <v>0.29749999999999999</v>
      </c>
      <c r="D26" s="103" t="s">
        <v>258</v>
      </c>
      <c r="E26" s="248">
        <f>C26*G26</f>
        <v>364.4375</v>
      </c>
      <c r="F26" s="103" t="s">
        <v>259</v>
      </c>
      <c r="G26" s="104">
        <f>VLOOKUP(B26,Päästökertoimet!$C$5:$K$60,4,FALSE)</f>
        <v>1225</v>
      </c>
      <c r="H26" s="103" t="s">
        <v>104</v>
      </c>
      <c r="I26" s="103"/>
      <c r="J26" s="191"/>
      <c r="K26" s="192">
        <f>Aputaulukko!$H$95</f>
        <v>0.29749999999999999</v>
      </c>
      <c r="L26" s="191" t="s">
        <v>258</v>
      </c>
      <c r="M26" s="191">
        <f>K26*O26</f>
        <v>364.4375</v>
      </c>
      <c r="N26" s="191" t="s">
        <v>259</v>
      </c>
      <c r="O26" s="193">
        <v>1225</v>
      </c>
      <c r="P26" s="191" t="s">
        <v>104</v>
      </c>
    </row>
    <row r="27" spans="2:16" x14ac:dyDescent="0.25">
      <c r="B27" s="186" t="str">
        <f>Päästökertoimet!C18</f>
        <v>Okto-murske (uusio)</v>
      </c>
      <c r="C27" s="248">
        <f>Aputaulukko!$H$95</f>
        <v>0.29749999999999999</v>
      </c>
      <c r="D27" s="103" t="s">
        <v>258</v>
      </c>
      <c r="E27" s="248">
        <f>C27*G27</f>
        <v>458.15</v>
      </c>
      <c r="F27" s="103" t="s">
        <v>259</v>
      </c>
      <c r="G27" s="104">
        <f>VLOOKUP(B27,Päästökertoimet!$C$5:$K$60,4,FALSE)</f>
        <v>1540</v>
      </c>
      <c r="H27" s="103" t="s">
        <v>104</v>
      </c>
      <c r="I27" s="103"/>
      <c r="J27" s="191"/>
      <c r="K27" s="192">
        <f>Aputaulukko!$H$95</f>
        <v>0.29749999999999999</v>
      </c>
      <c r="L27" s="191" t="s">
        <v>258</v>
      </c>
      <c r="M27" s="191">
        <f>K27*O27</f>
        <v>458.15</v>
      </c>
      <c r="N27" s="191" t="s">
        <v>259</v>
      </c>
      <c r="O27" s="193">
        <v>1540</v>
      </c>
      <c r="P27" s="191" t="s">
        <v>104</v>
      </c>
    </row>
    <row r="28" spans="2:16" x14ac:dyDescent="0.25">
      <c r="B28" s="186" t="str">
        <f>Päästökertoimet!C19</f>
        <v>Pohjatuhka, pohjahiekka (uusio)</v>
      </c>
      <c r="C28" s="247">
        <v>0</v>
      </c>
      <c r="D28" s="103" t="s">
        <v>258</v>
      </c>
      <c r="E28" s="248">
        <v>0</v>
      </c>
      <c r="F28" s="103" t="s">
        <v>259</v>
      </c>
      <c r="G28" s="104">
        <f>VLOOKUP(B28,Päästökertoimet!$C$5:$K$60,4,FALSE)</f>
        <v>1250</v>
      </c>
      <c r="H28" s="103" t="s">
        <v>104</v>
      </c>
      <c r="I28" s="103"/>
      <c r="J28" s="191"/>
      <c r="K28" s="191">
        <v>0</v>
      </c>
      <c r="L28" s="191" t="s">
        <v>258</v>
      </c>
      <c r="M28" s="191">
        <v>0</v>
      </c>
      <c r="N28" s="191" t="s">
        <v>259</v>
      </c>
      <c r="O28" s="193">
        <v>1250</v>
      </c>
      <c r="P28" s="191" t="s">
        <v>104</v>
      </c>
    </row>
    <row r="29" spans="2:16" x14ac:dyDescent="0.25">
      <c r="B29" s="186" t="str">
        <f>Päästökertoimet!C20</f>
        <v>Rengasleike, kokonaiset renkaat (uusio)</v>
      </c>
      <c r="C29" s="247">
        <v>0</v>
      </c>
      <c r="D29" s="103" t="s">
        <v>258</v>
      </c>
      <c r="E29" s="248">
        <v>0</v>
      </c>
      <c r="F29" s="103" t="s">
        <v>259</v>
      </c>
      <c r="G29" s="104">
        <f>VLOOKUP(B29,Päästökertoimet!$C$5:$K$60,4,FALSE)</f>
        <v>1145</v>
      </c>
      <c r="H29" s="103" t="s">
        <v>104</v>
      </c>
      <c r="I29" s="103"/>
      <c r="J29" s="191"/>
      <c r="K29" s="191">
        <v>0</v>
      </c>
      <c r="L29" s="191" t="s">
        <v>258</v>
      </c>
      <c r="M29" s="191">
        <v>0</v>
      </c>
      <c r="N29" s="191" t="s">
        <v>259</v>
      </c>
      <c r="O29" s="193">
        <v>1145</v>
      </c>
      <c r="P29" s="191" t="s">
        <v>104</v>
      </c>
    </row>
    <row r="30" spans="2:16" x14ac:dyDescent="0.25">
      <c r="B30" s="186" t="str">
        <f>Päästökertoimet!C21</f>
        <v>Ruoppausmassa (uusio)</v>
      </c>
      <c r="C30" s="247">
        <v>0</v>
      </c>
      <c r="D30" s="103" t="s">
        <v>258</v>
      </c>
      <c r="E30" s="248">
        <v>0</v>
      </c>
      <c r="F30" s="103" t="s">
        <v>259</v>
      </c>
      <c r="G30" s="104">
        <f>VLOOKUP(B30,Päästökertoimet!$C$5:$K$60,4,FALSE)</f>
        <v>1068.75</v>
      </c>
      <c r="H30" s="103" t="s">
        <v>104</v>
      </c>
      <c r="I30" s="103"/>
      <c r="J30" s="191"/>
      <c r="K30" s="191">
        <v>0</v>
      </c>
      <c r="L30" s="191" t="s">
        <v>258</v>
      </c>
      <c r="M30" s="191">
        <v>0</v>
      </c>
      <c r="N30" s="191" t="s">
        <v>259</v>
      </c>
      <c r="O30" s="193">
        <v>1068.75</v>
      </c>
      <c r="P30" s="191" t="s">
        <v>104</v>
      </c>
    </row>
    <row r="31" spans="2:16" x14ac:dyDescent="0.25">
      <c r="B31" s="186" t="str">
        <f>Päästökertoimet!C22</f>
        <v>Soodasakka (uusio)</v>
      </c>
      <c r="C31" s="248">
        <v>0</v>
      </c>
      <c r="D31" s="103" t="s">
        <v>258</v>
      </c>
      <c r="E31" s="248">
        <v>0</v>
      </c>
      <c r="F31" s="103" t="s">
        <v>259</v>
      </c>
      <c r="G31" s="104">
        <f>VLOOKUP(B31,Päästökertoimet!$C$5:$K$60,4,FALSE)</f>
        <v>2540</v>
      </c>
      <c r="H31" s="103" t="s">
        <v>104</v>
      </c>
      <c r="I31" s="103"/>
      <c r="J31" s="191"/>
      <c r="K31" s="191">
        <v>0</v>
      </c>
      <c r="L31" s="191" t="s">
        <v>258</v>
      </c>
      <c r="M31" s="191">
        <v>0</v>
      </c>
      <c r="N31" s="191" t="s">
        <v>259</v>
      </c>
      <c r="O31" s="193">
        <v>2540</v>
      </c>
      <c r="P31" s="191" t="s">
        <v>104</v>
      </c>
    </row>
    <row r="32" spans="2:16" x14ac:dyDescent="0.25">
      <c r="B32" s="186" t="str">
        <f>Päästökertoimet!C23</f>
        <v>Tiilijätemurske (uusio)</v>
      </c>
      <c r="C32" s="248">
        <v>0</v>
      </c>
      <c r="D32" s="103" t="s">
        <v>258</v>
      </c>
      <c r="E32" s="248">
        <v>0</v>
      </c>
      <c r="F32" s="103" t="s">
        <v>259</v>
      </c>
      <c r="G32" s="104">
        <f>VLOOKUP(B32,Päästökertoimet!$C$5:$K$60,4,FALSE)</f>
        <v>2400</v>
      </c>
      <c r="H32" s="103" t="s">
        <v>104</v>
      </c>
      <c r="I32" s="103"/>
      <c r="J32" s="191"/>
      <c r="K32" s="191">
        <v>0</v>
      </c>
      <c r="L32" s="191" t="s">
        <v>258</v>
      </c>
      <c r="M32" s="191">
        <v>0</v>
      </c>
      <c r="N32" s="191" t="s">
        <v>259</v>
      </c>
      <c r="O32" s="193">
        <v>2400</v>
      </c>
      <c r="P32" s="191" t="s">
        <v>104</v>
      </c>
    </row>
    <row r="33" spans="2:16" x14ac:dyDescent="0.25">
      <c r="B33" s="186" t="str">
        <f>Päästökertoimet!C24</f>
        <v>Vaahtolasimurske (uusio)</v>
      </c>
      <c r="C33" s="248">
        <f>E33/G33</f>
        <v>0.94210526315789478</v>
      </c>
      <c r="D33" s="103" t="s">
        <v>258</v>
      </c>
      <c r="E33" s="248">
        <f>Aputaulukko!$L$92</f>
        <v>179</v>
      </c>
      <c r="F33" s="103" t="s">
        <v>259</v>
      </c>
      <c r="G33" s="104">
        <v>190</v>
      </c>
      <c r="H33" s="103" t="s">
        <v>104</v>
      </c>
      <c r="I33" s="103"/>
      <c r="J33" s="191"/>
      <c r="K33" s="192">
        <f>M33/O33</f>
        <v>0.94210526315789478</v>
      </c>
      <c r="L33" s="191" t="s">
        <v>258</v>
      </c>
      <c r="M33" s="191">
        <f>Aputaulukko!$L$92</f>
        <v>179</v>
      </c>
      <c r="N33" s="191" t="s">
        <v>259</v>
      </c>
      <c r="O33" s="193">
        <v>190</v>
      </c>
      <c r="P33" s="191" t="s">
        <v>104</v>
      </c>
    </row>
    <row r="34" spans="2:16" x14ac:dyDescent="0.25">
      <c r="B34" s="186" t="str">
        <f>Päästökertoimet!C25</f>
        <v>Ylijäämämaat (uusio)</v>
      </c>
      <c r="C34" s="248">
        <v>0</v>
      </c>
      <c r="D34" s="103" t="s">
        <v>258</v>
      </c>
      <c r="E34" s="248">
        <v>0</v>
      </c>
      <c r="F34" s="103" t="s">
        <v>259</v>
      </c>
      <c r="G34" s="104">
        <f>VLOOKUP(B34,Päästökertoimet!$C$5:$K$60,4,FALSE)</f>
        <v>2650</v>
      </c>
      <c r="H34" s="103" t="s">
        <v>104</v>
      </c>
      <c r="I34" s="103"/>
      <c r="J34" s="191"/>
      <c r="K34" s="287">
        <v>0</v>
      </c>
      <c r="L34" s="287" t="s">
        <v>258</v>
      </c>
      <c r="M34" s="287">
        <v>0</v>
      </c>
      <c r="N34" s="287" t="s">
        <v>259</v>
      </c>
      <c r="O34" s="288">
        <v>2650</v>
      </c>
      <c r="P34" s="287" t="s">
        <v>104</v>
      </c>
    </row>
    <row r="35" spans="2:16" x14ac:dyDescent="0.25">
      <c r="B35" s="286" t="str">
        <f>IF(Päästökertoimet!C26&lt;&gt;"",Päästökertoimet!C26,"")</f>
        <v/>
      </c>
      <c r="C35" s="248"/>
      <c r="D35" s="103" t="s">
        <v>258</v>
      </c>
      <c r="E35" s="248"/>
      <c r="F35" s="103" t="s">
        <v>259</v>
      </c>
      <c r="G35" s="193" t="str">
        <f>IF(Päästökertoimet!F26&lt;&gt;"",Päästökertoimet!F26,"")</f>
        <v/>
      </c>
      <c r="H35" s="103" t="s">
        <v>104</v>
      </c>
      <c r="I35" s="63"/>
      <c r="J35" s="182" t="s">
        <v>408</v>
      </c>
      <c r="K35" s="178"/>
      <c r="L35" s="178"/>
      <c r="M35" s="178"/>
      <c r="N35" s="178"/>
      <c r="O35" s="293"/>
      <c r="P35" s="179"/>
    </row>
    <row r="36" spans="2:16" x14ac:dyDescent="0.25">
      <c r="B36" s="286" t="str">
        <f>IF(Päästökertoimet!C27&lt;&gt;"",Päästökertoimet!C27,"")</f>
        <v/>
      </c>
      <c r="C36" s="248"/>
      <c r="D36" s="103" t="s">
        <v>258</v>
      </c>
      <c r="E36" s="248"/>
      <c r="F36" s="103" t="s">
        <v>259</v>
      </c>
      <c r="G36" s="193" t="str">
        <f>IF(Päästökertoimet!F27&lt;&gt;"",Päästökertoimet!F27,"")</f>
        <v/>
      </c>
      <c r="H36" s="103" t="s">
        <v>104</v>
      </c>
      <c r="I36" s="63"/>
      <c r="J36" s="182" t="s">
        <v>409</v>
      </c>
      <c r="K36" s="180"/>
      <c r="L36" s="180"/>
      <c r="M36" s="180"/>
      <c r="N36" s="180"/>
      <c r="O36" s="292"/>
      <c r="P36" s="181"/>
    </row>
    <row r="37" spans="2:16" x14ac:dyDescent="0.25">
      <c r="B37" s="286" t="str">
        <f>IF(Päästökertoimet!C28&lt;&gt;"",Päästökertoimet!C28,"")</f>
        <v/>
      </c>
      <c r="C37" s="248"/>
      <c r="D37" s="103" t="s">
        <v>258</v>
      </c>
      <c r="E37" s="248"/>
      <c r="F37" s="103" t="s">
        <v>259</v>
      </c>
      <c r="G37" s="193" t="str">
        <f>IF(Päästökertoimet!F28&lt;&gt;"",Päästökertoimet!F28,"")</f>
        <v/>
      </c>
      <c r="H37" s="103" t="s">
        <v>104</v>
      </c>
      <c r="I37" s="63"/>
      <c r="J37" s="168"/>
      <c r="K37" s="180"/>
      <c r="L37" s="180"/>
      <c r="M37" s="180"/>
      <c r="N37" s="180"/>
      <c r="O37" s="292"/>
      <c r="P37" s="181"/>
    </row>
    <row r="38" spans="2:16" x14ac:dyDescent="0.25">
      <c r="B38" s="286" t="str">
        <f>IF(Päästökertoimet!C29&lt;&gt;"",Päästökertoimet!C29,"")</f>
        <v/>
      </c>
      <c r="C38" s="248"/>
      <c r="D38" s="103" t="s">
        <v>258</v>
      </c>
      <c r="E38" s="248"/>
      <c r="F38" s="103" t="s">
        <v>259</v>
      </c>
      <c r="G38" s="193" t="str">
        <f>IF(Päästökertoimet!F29&lt;&gt;"",Päästökertoimet!F29,"")</f>
        <v/>
      </c>
      <c r="H38" s="103" t="s">
        <v>104</v>
      </c>
      <c r="I38" s="63"/>
      <c r="J38" s="168"/>
      <c r="K38" s="180"/>
      <c r="L38" s="180"/>
      <c r="M38" s="180"/>
      <c r="N38" s="180"/>
      <c r="O38" s="292"/>
      <c r="P38" s="181"/>
    </row>
    <row r="39" spans="2:16" x14ac:dyDescent="0.25">
      <c r="B39" s="286" t="str">
        <f>IF(Päästökertoimet!C30&lt;&gt;"",Päästökertoimet!C30,"")</f>
        <v/>
      </c>
      <c r="C39" s="248"/>
      <c r="D39" s="103" t="s">
        <v>258</v>
      </c>
      <c r="E39" s="248"/>
      <c r="F39" s="103" t="s">
        <v>259</v>
      </c>
      <c r="G39" s="193" t="str">
        <f>IF(Päästökertoimet!F30&lt;&gt;"",Päästökertoimet!F30,"")</f>
        <v/>
      </c>
      <c r="H39" s="103" t="s">
        <v>104</v>
      </c>
      <c r="I39" s="63"/>
      <c r="J39" s="168"/>
      <c r="K39" s="180"/>
      <c r="L39" s="180"/>
      <c r="M39" s="180"/>
      <c r="N39" s="180"/>
      <c r="O39" s="292"/>
      <c r="P39" s="181"/>
    </row>
    <row r="40" spans="2:16" x14ac:dyDescent="0.25">
      <c r="B40" s="286" t="str">
        <f>IF(Päästökertoimet!C31&lt;&gt;"",Päästökertoimet!C31,"")</f>
        <v/>
      </c>
      <c r="C40" s="248"/>
      <c r="D40" s="103" t="s">
        <v>258</v>
      </c>
      <c r="E40" s="248"/>
      <c r="F40" s="103" t="s">
        <v>259</v>
      </c>
      <c r="G40" s="193" t="str">
        <f>IF(Päästökertoimet!F31&lt;&gt;"",Päästökertoimet!F31,"")</f>
        <v/>
      </c>
      <c r="H40" s="103" t="s">
        <v>104</v>
      </c>
      <c r="I40" s="63"/>
      <c r="J40" s="168"/>
      <c r="K40" s="180"/>
      <c r="L40" s="180"/>
      <c r="M40" s="180"/>
      <c r="N40" s="180"/>
      <c r="O40" s="292"/>
      <c r="P40" s="181"/>
    </row>
    <row r="41" spans="2:16" x14ac:dyDescent="0.25">
      <c r="B41" s="286" t="str">
        <f>IF(Päästökertoimet!C32&lt;&gt;"",Päästökertoimet!C32,"")</f>
        <v/>
      </c>
      <c r="C41" s="248"/>
      <c r="D41" s="103" t="s">
        <v>258</v>
      </c>
      <c r="E41" s="248"/>
      <c r="F41" s="103" t="s">
        <v>259</v>
      </c>
      <c r="G41" s="193" t="str">
        <f>IF(Päästökertoimet!F32&lt;&gt;"",Päästökertoimet!F32,"")</f>
        <v/>
      </c>
      <c r="H41" s="103" t="s">
        <v>104</v>
      </c>
      <c r="I41" s="63"/>
      <c r="J41" s="168"/>
      <c r="K41" s="180"/>
      <c r="L41" s="180"/>
      <c r="M41" s="180"/>
      <c r="N41" s="180"/>
      <c r="O41" s="292"/>
      <c r="P41" s="181"/>
    </row>
    <row r="42" spans="2:16" x14ac:dyDescent="0.25">
      <c r="B42" s="286" t="str">
        <f>IF(Päästökertoimet!C33&lt;&gt;"",Päästökertoimet!C33,"")</f>
        <v/>
      </c>
      <c r="C42" s="248"/>
      <c r="D42" s="103" t="s">
        <v>258</v>
      </c>
      <c r="E42" s="248"/>
      <c r="F42" s="103" t="s">
        <v>259</v>
      </c>
      <c r="G42" s="193" t="str">
        <f>IF(Päästökertoimet!F33&lt;&gt;"",Päästökertoimet!F33,"")</f>
        <v/>
      </c>
      <c r="H42" s="103" t="s">
        <v>104</v>
      </c>
      <c r="I42" s="63"/>
      <c r="J42" s="168"/>
      <c r="K42" s="180"/>
      <c r="L42" s="180"/>
      <c r="M42" s="180"/>
      <c r="N42" s="180"/>
      <c r="O42" s="292"/>
      <c r="P42" s="181"/>
    </row>
    <row r="43" spans="2:16" x14ac:dyDescent="0.25">
      <c r="B43" s="286" t="str">
        <f>IF(Päästökertoimet!C34&lt;&gt;"",Päästökertoimet!C34,"")</f>
        <v/>
      </c>
      <c r="C43" s="248"/>
      <c r="D43" s="103" t="s">
        <v>258</v>
      </c>
      <c r="E43" s="248"/>
      <c r="F43" s="103" t="s">
        <v>259</v>
      </c>
      <c r="G43" s="193" t="str">
        <f>IF(Päästökertoimet!F34&lt;&gt;"",Päästökertoimet!F34,"")</f>
        <v/>
      </c>
      <c r="H43" s="103" t="s">
        <v>104</v>
      </c>
      <c r="I43" s="63"/>
      <c r="J43" s="169"/>
      <c r="K43" s="294"/>
      <c r="L43" s="183"/>
      <c r="M43" s="294"/>
      <c r="N43" s="183"/>
      <c r="O43" s="295"/>
      <c r="P43" s="184"/>
    </row>
    <row r="44" spans="2:16" x14ac:dyDescent="0.25">
      <c r="B44" s="186"/>
      <c r="C44" s="248"/>
      <c r="D44" s="103"/>
      <c r="E44" s="248"/>
      <c r="F44" s="103"/>
      <c r="G44" s="104"/>
      <c r="H44" s="103"/>
      <c r="I44" s="103"/>
      <c r="J44" s="289"/>
      <c r="K44" s="290"/>
      <c r="L44" s="289"/>
      <c r="M44" s="290"/>
      <c r="N44" s="289"/>
      <c r="O44" s="291"/>
      <c r="P44" s="289"/>
    </row>
    <row r="45" spans="2:16" x14ac:dyDescent="0.25">
      <c r="B45" s="189" t="s">
        <v>24</v>
      </c>
      <c r="C45" s="248"/>
      <c r="D45" s="103"/>
      <c r="E45" s="248"/>
      <c r="F45" s="103"/>
      <c r="G45" s="104"/>
      <c r="H45" s="103"/>
      <c r="I45" s="103"/>
      <c r="J45" s="191"/>
      <c r="K45" s="192"/>
      <c r="L45" s="191"/>
      <c r="M45" s="192"/>
      <c r="N45" s="191"/>
      <c r="O45" s="193"/>
      <c r="P45" s="191"/>
    </row>
    <row r="46" spans="2:16" x14ac:dyDescent="0.25">
      <c r="B46" s="186" t="str">
        <f>Päästökertoimet!C36</f>
        <v>Asfalttibetoni (neitseellinen)</v>
      </c>
      <c r="C46" s="248">
        <f>E46/G46</f>
        <v>2.7733333333333332E-2</v>
      </c>
      <c r="D46" s="103" t="s">
        <v>258</v>
      </c>
      <c r="E46" s="248">
        <f>0.4*(AVERAGE(25,17,10))/0.1</f>
        <v>69.333333333333329</v>
      </c>
      <c r="F46" s="103" t="s">
        <v>259</v>
      </c>
      <c r="G46" s="104">
        <f>VLOOKUP(B46,Päästökertoimet!$C$5:$K$60,4,FALSE)</f>
        <v>2500</v>
      </c>
      <c r="H46" s="103" t="s">
        <v>104</v>
      </c>
      <c r="I46" s="103"/>
      <c r="J46" s="191"/>
      <c r="K46" s="220">
        <f>M46/O46</f>
        <v>2.7733333333333332E-2</v>
      </c>
      <c r="L46" s="191" t="s">
        <v>258</v>
      </c>
      <c r="M46" s="193">
        <f>0.4*(AVERAGE(25,17,10))/0.1</f>
        <v>69.333333333333329</v>
      </c>
      <c r="N46" s="191" t="s">
        <v>259</v>
      </c>
      <c r="O46" s="193">
        <v>2500</v>
      </c>
      <c r="P46" s="191" t="s">
        <v>104</v>
      </c>
    </row>
    <row r="47" spans="2:16" x14ac:dyDescent="0.25">
      <c r="B47" s="186" t="str">
        <f>Päästökertoimet!C37</f>
        <v>Betonikaivo (neitseellinen)</v>
      </c>
      <c r="C47" s="248">
        <f>Aputaulukko!$D$80</f>
        <v>0.3737622652247567</v>
      </c>
      <c r="D47" s="103" t="s">
        <v>258</v>
      </c>
      <c r="E47" s="248">
        <f>C47*G47</f>
        <v>897.02943653941611</v>
      </c>
      <c r="F47" s="103" t="s">
        <v>259</v>
      </c>
      <c r="G47" s="104">
        <f>VLOOKUP(B47,Päästökertoimet!$C$5:$K$60,4,FALSE)</f>
        <v>2400</v>
      </c>
      <c r="H47" s="103" t="s">
        <v>104</v>
      </c>
      <c r="I47" s="103"/>
      <c r="J47" s="191"/>
      <c r="K47" s="192">
        <f>Aputaulukko!$D$80</f>
        <v>0.3737622652247567</v>
      </c>
      <c r="L47" s="191" t="s">
        <v>258</v>
      </c>
      <c r="M47" s="193">
        <f>K47*O47</f>
        <v>897.02943653941611</v>
      </c>
      <c r="N47" s="191" t="s">
        <v>259</v>
      </c>
      <c r="O47" s="193">
        <v>2400</v>
      </c>
      <c r="P47" s="191" t="s">
        <v>104</v>
      </c>
    </row>
    <row r="48" spans="2:16" x14ac:dyDescent="0.25">
      <c r="B48" s="186" t="str">
        <f>Päästökertoimet!C38</f>
        <v>Betonipaalu (neitseellinen)</v>
      </c>
      <c r="C48" s="248">
        <f>AVERAGE(C47,C49)</f>
        <v>0.3184297119773683</v>
      </c>
      <c r="D48" s="103" t="s">
        <v>258</v>
      </c>
      <c r="E48" s="248">
        <f>AVERAGE(E47,E49)</f>
        <v>764.23130874568392</v>
      </c>
      <c r="F48" s="103" t="s">
        <v>259</v>
      </c>
      <c r="G48" s="104">
        <f>VLOOKUP(B48,Päästökertoimet!$C$5:$K$60,4,FALSE)</f>
        <v>2400</v>
      </c>
      <c r="H48" s="103" t="s">
        <v>104</v>
      </c>
      <c r="I48" s="103"/>
      <c r="J48" s="191"/>
      <c r="K48" s="192">
        <f>AVERAGE(K47,K49)</f>
        <v>0.3184297119773683</v>
      </c>
      <c r="L48" s="191" t="s">
        <v>258</v>
      </c>
      <c r="M48" s="192">
        <f>AVERAGE(M47,M49)</f>
        <v>764.23130874568392</v>
      </c>
      <c r="N48" s="191" t="s">
        <v>259</v>
      </c>
      <c r="O48" s="193">
        <v>2400</v>
      </c>
      <c r="P48" s="191" t="s">
        <v>104</v>
      </c>
    </row>
    <row r="49" spans="2:16" x14ac:dyDescent="0.25">
      <c r="B49" s="186" t="str">
        <f>Päästökertoimet!C39</f>
        <v>Betoniputki (neitseellinen)</v>
      </c>
      <c r="C49" s="248">
        <f>Aputaulukko!$I$80</f>
        <v>0.26309715872997991</v>
      </c>
      <c r="D49" s="103" t="s">
        <v>258</v>
      </c>
      <c r="E49" s="248">
        <f>C49*G49</f>
        <v>631.43318095195173</v>
      </c>
      <c r="F49" s="103" t="s">
        <v>259</v>
      </c>
      <c r="G49" s="104">
        <f>VLOOKUP(B49,Päästökertoimet!$C$5:$K$60,4,FALSE)</f>
        <v>2400</v>
      </c>
      <c r="H49" s="103" t="s">
        <v>104</v>
      </c>
      <c r="I49" s="103"/>
      <c r="J49" s="191"/>
      <c r="K49" s="192">
        <f>Aputaulukko!$I$80</f>
        <v>0.26309715872997991</v>
      </c>
      <c r="L49" s="191" t="s">
        <v>258</v>
      </c>
      <c r="M49" s="193">
        <f>K49*O49</f>
        <v>631.43318095195173</v>
      </c>
      <c r="N49" s="191" t="s">
        <v>259</v>
      </c>
      <c r="O49" s="193">
        <v>2400</v>
      </c>
      <c r="P49" s="191" t="s">
        <v>104</v>
      </c>
    </row>
    <row r="50" spans="2:16" x14ac:dyDescent="0.25">
      <c r="B50" s="186" t="str">
        <f>Päästökertoimet!C40</f>
        <v>Geotekstiili, PP (neitseellinen)</v>
      </c>
      <c r="C50" s="248">
        <f>Aputaulukko!$L$80</f>
        <v>6.789259259259258</v>
      </c>
      <c r="D50" s="103" t="s">
        <v>258</v>
      </c>
      <c r="E50" s="248">
        <f>C50*G50</f>
        <v>1.3578518518518516</v>
      </c>
      <c r="F50" s="103" t="s">
        <v>259</v>
      </c>
      <c r="G50" s="190">
        <f>VLOOKUP(B50,Päästökertoimet!$C$5:$K$60,4,FALSE)</f>
        <v>0.2</v>
      </c>
      <c r="H50" s="103" t="s">
        <v>104</v>
      </c>
      <c r="I50" s="103"/>
      <c r="J50" s="191"/>
      <c r="K50" s="192">
        <f>Aputaulukko!$L$80</f>
        <v>6.789259259259258</v>
      </c>
      <c r="L50" s="191" t="s">
        <v>258</v>
      </c>
      <c r="M50" s="192">
        <f>K50*O50</f>
        <v>1.3578518518518516</v>
      </c>
      <c r="N50" s="191" t="s">
        <v>259</v>
      </c>
      <c r="O50" s="193">
        <v>0.2</v>
      </c>
      <c r="P50" s="191" t="s">
        <v>104</v>
      </c>
    </row>
    <row r="51" spans="2:16" x14ac:dyDescent="0.25">
      <c r="B51" s="186" t="str">
        <f>Päästökertoimet!C41</f>
        <v>Kalkki (neitseellinen)</v>
      </c>
      <c r="C51" s="248">
        <f>Aputaulukko!$D$88</f>
        <v>0.39944444444444444</v>
      </c>
      <c r="D51" s="103" t="s">
        <v>258</v>
      </c>
      <c r="E51" s="248">
        <f>C51*G51</f>
        <v>713.67407407407404</v>
      </c>
      <c r="F51" s="103" t="s">
        <v>259</v>
      </c>
      <c r="G51" s="104">
        <f>VLOOKUP(B51,Päästökertoimet!$C$5:$K$60,4,FALSE)</f>
        <v>1786.6666666666667</v>
      </c>
      <c r="H51" s="103" t="s">
        <v>104</v>
      </c>
      <c r="I51" s="103"/>
      <c r="J51" s="191"/>
      <c r="K51" s="192">
        <f>Aputaulukko!$D$88</f>
        <v>0.39944444444444444</v>
      </c>
      <c r="L51" s="191" t="s">
        <v>258</v>
      </c>
      <c r="M51" s="193">
        <f>K51*O51</f>
        <v>713.67407407407404</v>
      </c>
      <c r="N51" s="191" t="s">
        <v>259</v>
      </c>
      <c r="O51" s="193">
        <v>1786.6666666666667</v>
      </c>
      <c r="P51" s="191" t="s">
        <v>104</v>
      </c>
    </row>
    <row r="52" spans="2:16" ht="27" x14ac:dyDescent="0.25">
      <c r="B52" s="186" t="str">
        <f>Päästökertoimet!C42</f>
        <v>Kevytbetoni, höyrykarkaistu, raudoitettu (neitseellinen)</v>
      </c>
      <c r="C52" s="248">
        <f>C53</f>
        <v>0.97245000000000004</v>
      </c>
      <c r="D52" s="187" t="str">
        <f t="shared" ref="D52:F52" si="0">D53</f>
        <v>e/kg</v>
      </c>
      <c r="E52" s="248">
        <f>E53</f>
        <v>413.29124999999999</v>
      </c>
      <c r="F52" s="187" t="str">
        <f t="shared" si="0"/>
        <v>e/m3</v>
      </c>
      <c r="G52" s="104">
        <f>VLOOKUP(B52,Päästökertoimet!$C$5:$K$60,4,FALSE)</f>
        <v>475</v>
      </c>
      <c r="H52" s="103" t="s">
        <v>104</v>
      </c>
      <c r="I52" s="103"/>
      <c r="J52" s="191"/>
      <c r="K52" s="192">
        <f>K53</f>
        <v>0.97245000000000004</v>
      </c>
      <c r="L52" s="191" t="s">
        <v>258</v>
      </c>
      <c r="M52" s="192">
        <f>M53</f>
        <v>413.29124999999999</v>
      </c>
      <c r="N52" s="191" t="s">
        <v>259</v>
      </c>
      <c r="O52" s="193">
        <v>475</v>
      </c>
      <c r="P52" s="191" t="s">
        <v>104</v>
      </c>
    </row>
    <row r="53" spans="2:16" ht="27" x14ac:dyDescent="0.25">
      <c r="B53" s="186" t="str">
        <f>Päästökertoimet!C43</f>
        <v>Kevytbetoniharkko, höyrykarkaistu, raudoittamaton (neitseellinen)</v>
      </c>
      <c r="C53" s="248">
        <f>Aputaulukko!$H$88</f>
        <v>0.97245000000000004</v>
      </c>
      <c r="D53" s="103" t="s">
        <v>258</v>
      </c>
      <c r="E53" s="248">
        <f t="shared" ref="E53:E61" si="1">C53*G53</f>
        <v>413.29124999999999</v>
      </c>
      <c r="F53" s="103" t="s">
        <v>259</v>
      </c>
      <c r="G53" s="104">
        <f>VLOOKUP(B53,Päästökertoimet!$C$5:$K$60,4,FALSE)</f>
        <v>425</v>
      </c>
      <c r="H53" s="103" t="s">
        <v>104</v>
      </c>
      <c r="I53" s="103"/>
      <c r="J53" s="191"/>
      <c r="K53" s="192">
        <f>Aputaulukko!$H$88</f>
        <v>0.97245000000000004</v>
      </c>
      <c r="L53" s="191" t="s">
        <v>258</v>
      </c>
      <c r="M53" s="193">
        <f>K53*O53</f>
        <v>413.29124999999999</v>
      </c>
      <c r="N53" s="191" t="s">
        <v>259</v>
      </c>
      <c r="O53" s="193">
        <v>425</v>
      </c>
      <c r="P53" s="191" t="s">
        <v>104</v>
      </c>
    </row>
    <row r="54" spans="2:16" x14ac:dyDescent="0.25">
      <c r="B54" s="251" t="s">
        <v>203</v>
      </c>
      <c r="C54" s="248">
        <f>Aputaulukko!D102</f>
        <v>0.81876096096096096</v>
      </c>
      <c r="D54" s="103" t="s">
        <v>258</v>
      </c>
      <c r="E54" s="248">
        <f t="shared" si="1"/>
        <v>248.90333213213214</v>
      </c>
      <c r="F54" s="103" t="s">
        <v>259</v>
      </c>
      <c r="G54" s="104">
        <f>VLOOKUP(B54,Päästökertoimet!$C$5:$K$60,4,FALSE)</f>
        <v>304</v>
      </c>
      <c r="H54" s="103" t="s">
        <v>104</v>
      </c>
      <c r="I54" s="103"/>
      <c r="J54" s="191"/>
      <c r="K54" s="252">
        <v>0.81876096096096096</v>
      </c>
      <c r="L54" s="191" t="s">
        <v>258</v>
      </c>
      <c r="M54" s="193">
        <v>248.90333213213214</v>
      </c>
      <c r="N54" s="191" t="s">
        <v>259</v>
      </c>
      <c r="O54" s="193">
        <v>304</v>
      </c>
      <c r="P54" s="191" t="s">
        <v>104</v>
      </c>
    </row>
    <row r="55" spans="2:16" x14ac:dyDescent="0.25">
      <c r="B55" s="251" t="s">
        <v>207</v>
      </c>
      <c r="C55" s="248">
        <f>Aputaulukko!G102</f>
        <v>8.2249999999999997E-3</v>
      </c>
      <c r="D55" s="103" t="s">
        <v>258</v>
      </c>
      <c r="E55" s="248">
        <f t="shared" si="1"/>
        <v>12.3375</v>
      </c>
      <c r="F55" s="103" t="s">
        <v>259</v>
      </c>
      <c r="G55" s="104">
        <f>VLOOKUP(B55,Päästökertoimet!$C$5:$K$60,4,FALSE)</f>
        <v>1500</v>
      </c>
      <c r="H55" s="103" t="s">
        <v>104</v>
      </c>
      <c r="I55" s="103"/>
      <c r="J55" s="191"/>
      <c r="K55" s="252">
        <v>8.2249999999999997E-3</v>
      </c>
      <c r="L55" s="191" t="s">
        <v>258</v>
      </c>
      <c r="M55" s="193">
        <v>12.3375</v>
      </c>
      <c r="N55" s="191" t="s">
        <v>259</v>
      </c>
      <c r="O55" s="193">
        <v>1500</v>
      </c>
      <c r="P55" s="191" t="s">
        <v>104</v>
      </c>
    </row>
    <row r="56" spans="2:16" x14ac:dyDescent="0.25">
      <c r="B56" s="251" t="s">
        <v>210</v>
      </c>
      <c r="C56" s="248">
        <f>Aputaulukko!N102</f>
        <v>0.1272816294555425</v>
      </c>
      <c r="D56" s="103" t="s">
        <v>258</v>
      </c>
      <c r="E56" s="248">
        <f t="shared" si="1"/>
        <v>343.66039952996476</v>
      </c>
      <c r="F56" s="103" t="s">
        <v>259</v>
      </c>
      <c r="G56" s="104">
        <f>VLOOKUP(B56,Päästökertoimet!$C$5:$K$60,4,FALSE)</f>
        <v>2700</v>
      </c>
      <c r="H56" s="103" t="s">
        <v>104</v>
      </c>
      <c r="I56" s="103"/>
      <c r="J56" s="191"/>
      <c r="K56" s="252">
        <v>0.1272816294555425</v>
      </c>
      <c r="L56" s="191" t="s">
        <v>258</v>
      </c>
      <c r="M56" s="193">
        <v>343.66039952996476</v>
      </c>
      <c r="N56" s="191" t="s">
        <v>259</v>
      </c>
      <c r="O56" s="193">
        <v>2700</v>
      </c>
      <c r="P56" s="191" t="s">
        <v>104</v>
      </c>
    </row>
    <row r="57" spans="2:16" x14ac:dyDescent="0.25">
      <c r="B57" s="250" t="s">
        <v>212</v>
      </c>
      <c r="C57" s="248">
        <f>Aputaulukko!D109</f>
        <v>0.37028769841269843</v>
      </c>
      <c r="D57" s="103" t="s">
        <v>258</v>
      </c>
      <c r="E57" s="248">
        <f t="shared" si="1"/>
        <v>999.77678571428578</v>
      </c>
      <c r="F57" s="103" t="s">
        <v>259</v>
      </c>
      <c r="G57" s="104">
        <f>VLOOKUP(B57,Päästökertoimet!$C$5:$K$60,4,FALSE)</f>
        <v>2700</v>
      </c>
      <c r="H57" s="103" t="s">
        <v>104</v>
      </c>
      <c r="I57" s="103"/>
      <c r="J57" s="191"/>
      <c r="K57" s="252">
        <v>0.37028769841269843</v>
      </c>
      <c r="L57" s="191" t="s">
        <v>258</v>
      </c>
      <c r="M57" s="193">
        <v>999.77678571428578</v>
      </c>
      <c r="N57" s="191" t="s">
        <v>259</v>
      </c>
      <c r="O57" s="193">
        <v>2700</v>
      </c>
      <c r="P57" s="191" t="s">
        <v>104</v>
      </c>
    </row>
    <row r="58" spans="2:16" x14ac:dyDescent="0.25">
      <c r="B58" s="251" t="s">
        <v>214</v>
      </c>
      <c r="C58" s="248">
        <f>Aputaulukko!I109</f>
        <v>8.9479447621102608</v>
      </c>
      <c r="D58" s="103" t="s">
        <v>258</v>
      </c>
      <c r="E58" s="248">
        <f t="shared" si="1"/>
        <v>9395.3420002157745</v>
      </c>
      <c r="F58" s="103" t="s">
        <v>259</v>
      </c>
      <c r="G58" s="104">
        <f>VLOOKUP(B58,Päästökertoimet!$C$5:$K$60,4,FALSE)</f>
        <v>1050</v>
      </c>
      <c r="H58" s="103" t="s">
        <v>104</v>
      </c>
      <c r="I58" s="103"/>
      <c r="J58" s="191"/>
      <c r="K58" s="252">
        <v>8.9479447621102608</v>
      </c>
      <c r="L58" s="191" t="s">
        <v>258</v>
      </c>
      <c r="M58" s="193">
        <v>9395.3420002157745</v>
      </c>
      <c r="N58" s="191" t="s">
        <v>259</v>
      </c>
      <c r="O58" s="193">
        <v>1050</v>
      </c>
      <c r="P58" s="191" t="s">
        <v>104</v>
      </c>
    </row>
    <row r="59" spans="2:16" x14ac:dyDescent="0.25">
      <c r="B59" s="251" t="s">
        <v>218</v>
      </c>
      <c r="C59" s="248">
        <f>Aputaulukko!L109</f>
        <v>7.0349999999999996E-3</v>
      </c>
      <c r="D59" s="103" t="s">
        <v>258</v>
      </c>
      <c r="E59" s="248">
        <f t="shared" si="1"/>
        <v>10.5525</v>
      </c>
      <c r="F59" s="103" t="s">
        <v>259</v>
      </c>
      <c r="G59" s="104">
        <f>VLOOKUP(B59,Päästökertoimet!$C$5:$K$60,4,FALSE)</f>
        <v>1500</v>
      </c>
      <c r="H59" s="103" t="s">
        <v>104</v>
      </c>
      <c r="I59" s="103"/>
      <c r="J59" s="191"/>
      <c r="K59" s="252">
        <v>7.0349999999999996E-3</v>
      </c>
      <c r="L59" s="191" t="s">
        <v>258</v>
      </c>
      <c r="M59" s="193">
        <v>10.5525</v>
      </c>
      <c r="N59" s="191" t="s">
        <v>259</v>
      </c>
      <c r="O59" s="193">
        <v>1500</v>
      </c>
      <c r="P59" s="191" t="s">
        <v>104</v>
      </c>
    </row>
    <row r="60" spans="2:16" x14ac:dyDescent="0.25">
      <c r="B60" s="250" t="s">
        <v>222</v>
      </c>
      <c r="C60" s="248">
        <f>Aputaulukko!D116</f>
        <v>0.43452380952380953</v>
      </c>
      <c r="D60" s="103" t="s">
        <v>258</v>
      </c>
      <c r="E60" s="248">
        <f t="shared" si="1"/>
        <v>564.88095238095241</v>
      </c>
      <c r="F60" s="103" t="s">
        <v>259</v>
      </c>
      <c r="G60" s="104">
        <f>VLOOKUP(B60,Päästökertoimet!$C$5:$K$60,4,FALSE)</f>
        <v>1300</v>
      </c>
      <c r="H60" s="103" t="s">
        <v>104</v>
      </c>
      <c r="I60" s="103"/>
      <c r="J60" s="191"/>
      <c r="K60" s="252">
        <v>0.43452380952380953</v>
      </c>
      <c r="L60" s="191" t="s">
        <v>258</v>
      </c>
      <c r="M60" s="193">
        <v>564.88095238095241</v>
      </c>
      <c r="N60" s="191" t="s">
        <v>259</v>
      </c>
      <c r="O60" s="193">
        <v>1300</v>
      </c>
      <c r="P60" s="191" t="s">
        <v>104</v>
      </c>
    </row>
    <row r="61" spans="2:16" x14ac:dyDescent="0.25">
      <c r="B61" s="251" t="s">
        <v>225</v>
      </c>
      <c r="C61" s="248">
        <f>$C$60</f>
        <v>0.43452380952380953</v>
      </c>
      <c r="D61" s="103" t="s">
        <v>258</v>
      </c>
      <c r="E61" s="248">
        <f t="shared" si="1"/>
        <v>564.88095238095241</v>
      </c>
      <c r="F61" s="103" t="s">
        <v>259</v>
      </c>
      <c r="G61" s="104">
        <f>VLOOKUP(B61,Päästökertoimet!$C$5:$K$60,4,FALSE)</f>
        <v>1300</v>
      </c>
      <c r="H61" s="103" t="s">
        <v>104</v>
      </c>
      <c r="I61" s="103"/>
      <c r="J61" s="191"/>
      <c r="K61" s="252">
        <v>0.43452380952380953</v>
      </c>
      <c r="L61" s="191" t="s">
        <v>258</v>
      </c>
      <c r="M61" s="193">
        <v>564.88095238095241</v>
      </c>
      <c r="N61" s="191" t="s">
        <v>259</v>
      </c>
      <c r="O61" s="193">
        <v>1300</v>
      </c>
      <c r="P61" s="191" t="s">
        <v>104</v>
      </c>
    </row>
    <row r="62" spans="2:16" x14ac:dyDescent="0.25">
      <c r="B62" s="286" t="str">
        <f>IF(Päästökertoimet!C52&lt;&gt;"",Päästökertoimet!C52,"")</f>
        <v/>
      </c>
      <c r="C62" s="248"/>
      <c r="D62" s="103" t="s">
        <v>258</v>
      </c>
      <c r="E62" s="248"/>
      <c r="F62" s="103" t="s">
        <v>259</v>
      </c>
      <c r="G62" s="193" t="str">
        <f>IF(Päästökertoimet!F52&lt;&gt;"",Päästökertoimet!F52,"")</f>
        <v/>
      </c>
      <c r="H62" s="103" t="s">
        <v>104</v>
      </c>
      <c r="I62" s="103"/>
      <c r="J62" s="182" t="s">
        <v>408</v>
      </c>
      <c r="K62" s="297"/>
      <c r="L62" s="178"/>
      <c r="M62" s="293"/>
      <c r="N62" s="178"/>
      <c r="O62" s="293"/>
      <c r="P62" s="179"/>
    </row>
    <row r="63" spans="2:16" x14ac:dyDescent="0.25">
      <c r="B63" s="286" t="str">
        <f>IF(Päästökertoimet!C53&lt;&gt;"",Päästökertoimet!C53,"")</f>
        <v/>
      </c>
      <c r="C63" s="248"/>
      <c r="D63" s="103" t="s">
        <v>258</v>
      </c>
      <c r="E63" s="248"/>
      <c r="F63" s="103" t="s">
        <v>259</v>
      </c>
      <c r="G63" s="193" t="str">
        <f>IF(Päästökertoimet!F53&lt;&gt;"",Päästökertoimet!F53,"")</f>
        <v/>
      </c>
      <c r="H63" s="103" t="s">
        <v>104</v>
      </c>
      <c r="I63" s="103"/>
      <c r="J63" s="182" t="s">
        <v>409</v>
      </c>
      <c r="K63" s="296"/>
      <c r="L63" s="180"/>
      <c r="M63" s="292"/>
      <c r="N63" s="180"/>
      <c r="O63" s="292"/>
      <c r="P63" s="181"/>
    </row>
    <row r="64" spans="2:16" x14ac:dyDescent="0.25">
      <c r="B64" s="286" t="str">
        <f>IF(Päästökertoimet!C54&lt;&gt;"",Päästökertoimet!C54,"")</f>
        <v/>
      </c>
      <c r="C64" s="248"/>
      <c r="D64" s="103" t="s">
        <v>258</v>
      </c>
      <c r="E64" s="248"/>
      <c r="F64" s="103" t="s">
        <v>259</v>
      </c>
      <c r="G64" s="193" t="str">
        <f>IF(Päästökertoimet!F54&lt;&gt;"",Päästökertoimet!F54,"")</f>
        <v/>
      </c>
      <c r="H64" s="103" t="s">
        <v>104</v>
      </c>
      <c r="I64" s="103"/>
      <c r="J64" s="168"/>
      <c r="K64" s="296"/>
      <c r="L64" s="180"/>
      <c r="M64" s="292"/>
      <c r="N64" s="180"/>
      <c r="O64" s="292"/>
      <c r="P64" s="181"/>
    </row>
    <row r="65" spans="2:31" x14ac:dyDescent="0.25">
      <c r="B65" s="286" t="str">
        <f>IF(Päästökertoimet!C55&lt;&gt;"",Päästökertoimet!C55,"")</f>
        <v/>
      </c>
      <c r="C65" s="248"/>
      <c r="D65" s="103" t="s">
        <v>258</v>
      </c>
      <c r="E65" s="248"/>
      <c r="F65" s="103" t="s">
        <v>259</v>
      </c>
      <c r="G65" s="193" t="str">
        <f>IF(Päästökertoimet!F55&lt;&gt;"",Päästökertoimet!F55,"")</f>
        <v/>
      </c>
      <c r="H65" s="103" t="s">
        <v>104</v>
      </c>
      <c r="I65" s="103"/>
      <c r="J65" s="168"/>
      <c r="K65" s="296"/>
      <c r="L65" s="180"/>
      <c r="M65" s="292"/>
      <c r="N65" s="180"/>
      <c r="O65" s="292"/>
      <c r="P65" s="181"/>
    </row>
    <row r="66" spans="2:31" x14ac:dyDescent="0.25">
      <c r="B66" s="286" t="str">
        <f>IF(Päästökertoimet!C56&lt;&gt;"",Päästökertoimet!C56,"")</f>
        <v/>
      </c>
      <c r="C66" s="248"/>
      <c r="D66" s="103" t="s">
        <v>258</v>
      </c>
      <c r="E66" s="248"/>
      <c r="F66" s="103" t="s">
        <v>259</v>
      </c>
      <c r="G66" s="193" t="str">
        <f>IF(Päästökertoimet!F56&lt;&gt;"",Päästökertoimet!F56,"")</f>
        <v/>
      </c>
      <c r="H66" s="103" t="s">
        <v>104</v>
      </c>
      <c r="I66" s="103"/>
      <c r="J66" s="168"/>
      <c r="K66" s="296"/>
      <c r="L66" s="180"/>
      <c r="M66" s="292"/>
      <c r="N66" s="180"/>
      <c r="O66" s="292"/>
      <c r="P66" s="181"/>
    </row>
    <row r="67" spans="2:31" x14ac:dyDescent="0.25">
      <c r="B67" s="286"/>
      <c r="C67" s="248"/>
      <c r="D67" s="103" t="s">
        <v>258</v>
      </c>
      <c r="E67" s="248"/>
      <c r="F67" s="103" t="s">
        <v>259</v>
      </c>
      <c r="G67" s="193"/>
      <c r="H67" s="103" t="s">
        <v>104</v>
      </c>
      <c r="I67" s="103"/>
      <c r="J67" s="168"/>
      <c r="K67" s="296"/>
      <c r="L67" s="180"/>
      <c r="M67" s="292"/>
      <c r="N67" s="180"/>
      <c r="O67" s="292"/>
      <c r="P67" s="181"/>
    </row>
    <row r="68" spans="2:31" x14ac:dyDescent="0.25">
      <c r="B68" s="286" t="str">
        <f>IF(Päästökertoimet!C57&lt;&gt;"",Päästökertoimet!C57,"")</f>
        <v/>
      </c>
      <c r="C68" s="248"/>
      <c r="D68" s="103" t="s">
        <v>258</v>
      </c>
      <c r="E68" s="248"/>
      <c r="F68" s="103" t="s">
        <v>259</v>
      </c>
      <c r="G68" s="193" t="str">
        <f>IF(Päästökertoimet!F57&lt;&gt;"",Päästökertoimet!F57,"")</f>
        <v/>
      </c>
      <c r="H68" s="103" t="s">
        <v>104</v>
      </c>
      <c r="I68" s="103"/>
      <c r="J68" s="168"/>
      <c r="K68" s="296"/>
      <c r="L68" s="180"/>
      <c r="M68" s="292"/>
      <c r="N68" s="180"/>
      <c r="O68" s="292"/>
      <c r="P68" s="181"/>
    </row>
    <row r="69" spans="2:31" x14ac:dyDescent="0.25">
      <c r="B69" s="286" t="str">
        <f>IF(Päästökertoimet!C58&lt;&gt;"",Päästökertoimet!C58,"")</f>
        <v/>
      </c>
      <c r="C69" s="248"/>
      <c r="D69" s="103" t="s">
        <v>258</v>
      </c>
      <c r="E69" s="248"/>
      <c r="F69" s="103" t="s">
        <v>259</v>
      </c>
      <c r="G69" s="193" t="str">
        <f>IF(Päästökertoimet!F58&lt;&gt;"",Päästökertoimet!F58,"")</f>
        <v/>
      </c>
      <c r="H69" s="103" t="s">
        <v>104</v>
      </c>
      <c r="I69" s="103"/>
      <c r="J69" s="168"/>
      <c r="K69" s="296"/>
      <c r="L69" s="180"/>
      <c r="M69" s="292"/>
      <c r="N69" s="180"/>
      <c r="O69" s="292"/>
      <c r="P69" s="181"/>
    </row>
    <row r="70" spans="2:31" x14ac:dyDescent="0.25">
      <c r="B70" s="286" t="str">
        <f>IF(Päästökertoimet!C59&lt;&gt;"",Päästökertoimet!C59,"")</f>
        <v/>
      </c>
      <c r="C70" s="248"/>
      <c r="D70" s="103" t="s">
        <v>258</v>
      </c>
      <c r="E70" s="248"/>
      <c r="F70" s="103" t="s">
        <v>259</v>
      </c>
      <c r="G70" s="193" t="str">
        <f>IF(Päästökertoimet!F59&lt;&gt;"",Päästökertoimet!F59,"")</f>
        <v/>
      </c>
      <c r="H70" s="103" t="s">
        <v>104</v>
      </c>
      <c r="I70" s="103"/>
      <c r="J70" s="169"/>
      <c r="K70" s="298"/>
      <c r="L70" s="183"/>
      <c r="M70" s="295"/>
      <c r="N70" s="183"/>
      <c r="O70" s="295"/>
      <c r="P70" s="184"/>
    </row>
    <row r="76" spans="2:31" x14ac:dyDescent="0.25">
      <c r="B76" s="17" t="s">
        <v>327</v>
      </c>
    </row>
    <row r="77" spans="2:31" s="17" customFormat="1" ht="27" x14ac:dyDescent="0.25">
      <c r="B77" s="261" t="s">
        <v>320</v>
      </c>
      <c r="C77" s="261" t="s">
        <v>322</v>
      </c>
      <c r="D77" s="261" t="s">
        <v>324</v>
      </c>
      <c r="E77" s="262" t="s">
        <v>321</v>
      </c>
      <c r="F77" s="261" t="s">
        <v>324</v>
      </c>
      <c r="G77" s="261" t="s">
        <v>325</v>
      </c>
      <c r="H77" s="261" t="s">
        <v>324</v>
      </c>
      <c r="I77" s="261" t="s">
        <v>328</v>
      </c>
      <c r="J77" s="261" t="s">
        <v>323</v>
      </c>
      <c r="K77" s="261" t="s">
        <v>324</v>
      </c>
      <c r="L77" s="263" t="s">
        <v>181</v>
      </c>
      <c r="M77" s="264" t="s">
        <v>328</v>
      </c>
      <c r="N77" s="264"/>
      <c r="O77" s="265"/>
      <c r="P77" s="266" t="s">
        <v>379</v>
      </c>
      <c r="Q77" s="267"/>
      <c r="R77" s="267"/>
      <c r="S77" s="267"/>
      <c r="T77" s="267"/>
      <c r="U77" s="267"/>
      <c r="V77" s="267"/>
      <c r="W77" s="267"/>
      <c r="X77" s="267"/>
      <c r="Y77" s="267"/>
      <c r="Z77" s="267"/>
      <c r="AA77" s="267"/>
      <c r="AB77" s="267"/>
      <c r="AC77" s="267"/>
      <c r="AD77" s="267"/>
      <c r="AE77" s="268"/>
    </row>
    <row r="78" spans="2:31" x14ac:dyDescent="0.25">
      <c r="B78" s="194"/>
      <c r="C78" s="194"/>
      <c r="D78" s="194"/>
      <c r="E78" s="194"/>
      <c r="F78" s="194"/>
      <c r="G78" s="197"/>
      <c r="H78" s="194"/>
      <c r="I78" s="194"/>
      <c r="J78" s="194"/>
      <c r="K78" s="194"/>
      <c r="L78" s="198"/>
      <c r="M78" s="199" t="s">
        <v>328</v>
      </c>
      <c r="N78" s="199"/>
      <c r="O78" s="22"/>
      <c r="P78" s="255"/>
      <c r="Q78" s="253"/>
      <c r="R78" s="253"/>
      <c r="S78" s="253"/>
      <c r="T78" s="253"/>
      <c r="U78" s="253"/>
      <c r="V78" s="253"/>
      <c r="W78" s="253"/>
      <c r="X78" s="253"/>
      <c r="Y78" s="253"/>
      <c r="Z78" s="253"/>
      <c r="AA78" s="253"/>
      <c r="AB78" s="253"/>
      <c r="AC78" s="253"/>
      <c r="AD78" s="253"/>
      <c r="AE78" s="254"/>
    </row>
    <row r="79" spans="2:31" x14ac:dyDescent="0.25">
      <c r="B79" s="194" t="s">
        <v>66</v>
      </c>
      <c r="C79" s="270">
        <v>4.7</v>
      </c>
      <c r="D79" s="194" t="s">
        <v>27</v>
      </c>
      <c r="E79" s="270">
        <v>30</v>
      </c>
      <c r="F79" s="194" t="s">
        <v>65</v>
      </c>
      <c r="G79" s="271">
        <v>30000</v>
      </c>
      <c r="H79" s="194" t="s">
        <v>326</v>
      </c>
      <c r="I79" s="194" t="s">
        <v>328</v>
      </c>
      <c r="J79" s="194">
        <v>19</v>
      </c>
      <c r="K79" s="194" t="s">
        <v>253</v>
      </c>
      <c r="L79" s="272" t="s">
        <v>334</v>
      </c>
      <c r="M79" s="273"/>
      <c r="N79" s="273"/>
      <c r="O79" s="274"/>
      <c r="P79" s="256" t="s">
        <v>392</v>
      </c>
      <c r="Q79" s="180"/>
      <c r="R79" s="180"/>
      <c r="S79" s="180"/>
      <c r="T79" s="180"/>
      <c r="U79" s="180"/>
      <c r="V79" s="180"/>
      <c r="W79" s="180"/>
      <c r="X79" s="180"/>
      <c r="Y79" s="180"/>
      <c r="Z79" s="180"/>
      <c r="AA79" s="180"/>
      <c r="AB79" s="180"/>
      <c r="AC79" s="180"/>
      <c r="AD79" s="180"/>
      <c r="AE79" s="257"/>
    </row>
    <row r="80" spans="2:31" x14ac:dyDescent="0.25">
      <c r="B80" s="194" t="s">
        <v>66</v>
      </c>
      <c r="C80" s="270">
        <v>4</v>
      </c>
      <c r="D80" s="194" t="s">
        <v>27</v>
      </c>
      <c r="E80" s="270">
        <v>60</v>
      </c>
      <c r="F80" s="194" t="s">
        <v>65</v>
      </c>
      <c r="G80" s="271">
        <v>30000</v>
      </c>
      <c r="H80" s="194" t="s">
        <v>326</v>
      </c>
      <c r="I80" s="194" t="s">
        <v>328</v>
      </c>
      <c r="J80" s="194">
        <v>19</v>
      </c>
      <c r="K80" s="194" t="s">
        <v>253</v>
      </c>
      <c r="L80" s="272" t="s">
        <v>334</v>
      </c>
      <c r="M80" s="273"/>
      <c r="N80" s="273"/>
      <c r="O80" s="274"/>
      <c r="P80" s="256" t="s">
        <v>401</v>
      </c>
      <c r="Q80" s="180"/>
      <c r="R80" s="180"/>
      <c r="S80" s="180"/>
      <c r="T80" s="180"/>
      <c r="U80" s="180"/>
      <c r="V80" s="180"/>
      <c r="W80" s="180"/>
      <c r="X80" s="180"/>
      <c r="Y80" s="180"/>
      <c r="Z80" s="180"/>
      <c r="AA80" s="180"/>
      <c r="AB80" s="180"/>
      <c r="AC80" s="180"/>
      <c r="AD80" s="180"/>
      <c r="AE80" s="257"/>
    </row>
    <row r="81" spans="2:31" x14ac:dyDescent="0.25">
      <c r="B81" s="194" t="s">
        <v>66</v>
      </c>
      <c r="C81" s="270">
        <v>5.4</v>
      </c>
      <c r="D81" s="194" t="s">
        <v>27</v>
      </c>
      <c r="E81" s="270">
        <v>30</v>
      </c>
      <c r="F81" s="194" t="s">
        <v>65</v>
      </c>
      <c r="G81" s="271">
        <v>60000</v>
      </c>
      <c r="H81" s="194" t="s">
        <v>326</v>
      </c>
      <c r="I81" s="194" t="s">
        <v>328</v>
      </c>
      <c r="J81" s="194">
        <v>19</v>
      </c>
      <c r="K81" s="194" t="s">
        <v>253</v>
      </c>
      <c r="L81" s="272" t="s">
        <v>334</v>
      </c>
      <c r="M81" s="273"/>
      <c r="N81" s="273"/>
      <c r="O81" s="274"/>
      <c r="P81" s="256" t="s">
        <v>402</v>
      </c>
      <c r="Q81" s="180"/>
      <c r="R81" s="180"/>
      <c r="S81" s="180"/>
      <c r="T81" s="180"/>
      <c r="U81" s="180"/>
      <c r="V81" s="180"/>
      <c r="W81" s="180"/>
      <c r="X81" s="180"/>
      <c r="Y81" s="180"/>
      <c r="Z81" s="180"/>
      <c r="AA81" s="180"/>
      <c r="AB81" s="180"/>
      <c r="AC81" s="180"/>
      <c r="AD81" s="180"/>
      <c r="AE81" s="257"/>
    </row>
    <row r="82" spans="2:31" x14ac:dyDescent="0.25">
      <c r="B82" s="194" t="s">
        <v>66</v>
      </c>
      <c r="C82" s="270">
        <v>2.7</v>
      </c>
      <c r="D82" s="194" t="s">
        <v>27</v>
      </c>
      <c r="E82" s="270">
        <v>60</v>
      </c>
      <c r="F82" s="194" t="s">
        <v>65</v>
      </c>
      <c r="G82" s="271">
        <v>60000</v>
      </c>
      <c r="H82" s="194" t="s">
        <v>326</v>
      </c>
      <c r="I82" s="194" t="s">
        <v>328</v>
      </c>
      <c r="J82" s="194">
        <v>19</v>
      </c>
      <c r="K82" s="194" t="s">
        <v>253</v>
      </c>
      <c r="L82" s="272" t="s">
        <v>334</v>
      </c>
      <c r="M82" s="273"/>
      <c r="N82" s="273"/>
      <c r="O82" s="274"/>
      <c r="P82" s="256"/>
      <c r="Q82" s="180"/>
      <c r="R82" s="180"/>
      <c r="S82" s="180"/>
      <c r="T82" s="180"/>
      <c r="U82" s="180"/>
      <c r="V82" s="180"/>
      <c r="W82" s="180"/>
      <c r="X82" s="180"/>
      <c r="Y82" s="180"/>
      <c r="Z82" s="180"/>
      <c r="AA82" s="180"/>
      <c r="AB82" s="180"/>
      <c r="AC82" s="180"/>
      <c r="AD82" s="180"/>
      <c r="AE82" s="257"/>
    </row>
    <row r="83" spans="2:31" x14ac:dyDescent="0.25">
      <c r="B83" s="194" t="s">
        <v>330</v>
      </c>
      <c r="C83" s="270">
        <v>6.8</v>
      </c>
      <c r="D83" s="194" t="s">
        <v>27</v>
      </c>
      <c r="E83" s="270">
        <v>30</v>
      </c>
      <c r="F83" s="194" t="s">
        <v>65</v>
      </c>
      <c r="G83" s="271">
        <v>30000</v>
      </c>
      <c r="H83" s="194" t="s">
        <v>326</v>
      </c>
      <c r="I83" s="194" t="s">
        <v>328</v>
      </c>
      <c r="J83" s="194">
        <v>50</v>
      </c>
      <c r="K83" s="194" t="s">
        <v>253</v>
      </c>
      <c r="L83" s="272" t="s">
        <v>334</v>
      </c>
      <c r="M83" s="273"/>
      <c r="N83" s="273"/>
      <c r="O83" s="274"/>
      <c r="P83" s="256" t="s">
        <v>403</v>
      </c>
      <c r="Q83" s="180"/>
      <c r="R83" s="180"/>
      <c r="S83" s="180"/>
      <c r="T83" s="180"/>
      <c r="U83" s="180"/>
      <c r="V83" s="180"/>
      <c r="W83" s="180"/>
      <c r="X83" s="180"/>
      <c r="Y83" s="180"/>
      <c r="Z83" s="180"/>
      <c r="AA83" s="180"/>
      <c r="AB83" s="180"/>
      <c r="AC83" s="180"/>
      <c r="AD83" s="180"/>
      <c r="AE83" s="257"/>
    </row>
    <row r="84" spans="2:31" x14ac:dyDescent="0.25">
      <c r="B84" s="194" t="s">
        <v>330</v>
      </c>
      <c r="C84" s="270">
        <v>5.2</v>
      </c>
      <c r="D84" s="194" t="s">
        <v>27</v>
      </c>
      <c r="E84" s="270">
        <v>60</v>
      </c>
      <c r="F84" s="194" t="s">
        <v>65</v>
      </c>
      <c r="G84" s="271">
        <v>30000</v>
      </c>
      <c r="H84" s="194" t="s">
        <v>326</v>
      </c>
      <c r="I84" s="194" t="s">
        <v>328</v>
      </c>
      <c r="J84" s="194">
        <v>50</v>
      </c>
      <c r="K84" s="194" t="s">
        <v>253</v>
      </c>
      <c r="L84" s="275" t="s">
        <v>334</v>
      </c>
      <c r="M84" s="276"/>
      <c r="N84" s="276"/>
      <c r="O84" s="240"/>
      <c r="P84" s="256"/>
      <c r="Q84" s="180"/>
      <c r="R84" s="180"/>
      <c r="S84" s="180"/>
      <c r="T84" s="180"/>
      <c r="U84" s="180"/>
      <c r="V84" s="180"/>
      <c r="W84" s="180"/>
      <c r="X84" s="180"/>
      <c r="Y84" s="180"/>
      <c r="Z84" s="180"/>
      <c r="AA84" s="180"/>
      <c r="AB84" s="180"/>
      <c r="AC84" s="180"/>
      <c r="AD84" s="180"/>
      <c r="AE84" s="257"/>
    </row>
    <row r="85" spans="2:31" x14ac:dyDescent="0.25">
      <c r="B85" s="194" t="s">
        <v>330</v>
      </c>
      <c r="C85" s="270">
        <v>7.5</v>
      </c>
      <c r="D85" s="194" t="s">
        <v>27</v>
      </c>
      <c r="E85" s="270">
        <v>30</v>
      </c>
      <c r="F85" s="194" t="s">
        <v>65</v>
      </c>
      <c r="G85" s="271">
        <v>60000</v>
      </c>
      <c r="H85" s="194" t="s">
        <v>326</v>
      </c>
      <c r="I85" s="194" t="s">
        <v>328</v>
      </c>
      <c r="J85" s="194">
        <v>50</v>
      </c>
      <c r="K85" s="194" t="s">
        <v>253</v>
      </c>
      <c r="L85" s="272" t="s">
        <v>334</v>
      </c>
      <c r="M85" s="273"/>
      <c r="N85" s="273"/>
      <c r="O85" s="274"/>
      <c r="P85" s="256" t="s">
        <v>404</v>
      </c>
      <c r="Q85" s="180"/>
      <c r="R85" s="180"/>
      <c r="S85" s="180"/>
      <c r="T85" s="180"/>
      <c r="U85" s="180"/>
      <c r="V85" s="180"/>
      <c r="W85" s="180"/>
      <c r="X85" s="180"/>
      <c r="Y85" s="180"/>
      <c r="Z85" s="180"/>
      <c r="AA85" s="180"/>
      <c r="AB85" s="180"/>
      <c r="AC85" s="180"/>
      <c r="AD85" s="180"/>
      <c r="AE85" s="257"/>
    </row>
    <row r="86" spans="2:31" x14ac:dyDescent="0.25">
      <c r="B86" s="194" t="s">
        <v>330</v>
      </c>
      <c r="C86" s="270">
        <v>3.7</v>
      </c>
      <c r="D86" s="194" t="s">
        <v>27</v>
      </c>
      <c r="E86" s="270">
        <v>60</v>
      </c>
      <c r="F86" s="194" t="s">
        <v>65</v>
      </c>
      <c r="G86" s="271">
        <v>60000</v>
      </c>
      <c r="H86" s="194" t="s">
        <v>326</v>
      </c>
      <c r="I86" s="194" t="s">
        <v>328</v>
      </c>
      <c r="J86" s="194">
        <v>50</v>
      </c>
      <c r="K86" s="194" t="s">
        <v>253</v>
      </c>
      <c r="L86" s="272" t="s">
        <v>334</v>
      </c>
      <c r="M86" s="273"/>
      <c r="N86" s="273"/>
      <c r="O86" s="274"/>
      <c r="P86" s="256"/>
      <c r="Q86" s="180"/>
      <c r="R86" s="180"/>
      <c r="S86" s="180"/>
      <c r="T86" s="180"/>
      <c r="U86" s="180"/>
      <c r="V86" s="180"/>
      <c r="W86" s="180"/>
      <c r="X86" s="180"/>
      <c r="Y86" s="180"/>
      <c r="Z86" s="180"/>
      <c r="AA86" s="180"/>
      <c r="AB86" s="180"/>
      <c r="AC86" s="180"/>
      <c r="AD86" s="180"/>
      <c r="AE86" s="257"/>
    </row>
    <row r="87" spans="2:31" x14ac:dyDescent="0.25">
      <c r="B87" s="247"/>
      <c r="C87" s="247"/>
      <c r="D87" s="194" t="s">
        <v>27</v>
      </c>
      <c r="E87" s="249"/>
      <c r="F87" s="194" t="s">
        <v>65</v>
      </c>
      <c r="G87" s="249"/>
      <c r="H87" s="194" t="s">
        <v>326</v>
      </c>
      <c r="I87" s="103"/>
      <c r="J87" s="247"/>
      <c r="K87" s="194" t="s">
        <v>253</v>
      </c>
      <c r="L87" s="277"/>
      <c r="M87" s="274"/>
      <c r="N87" s="274"/>
      <c r="O87" s="274"/>
      <c r="P87" s="256" t="s">
        <v>405</v>
      </c>
      <c r="Q87" s="180"/>
      <c r="R87" s="180"/>
      <c r="S87" s="180"/>
      <c r="T87" s="180"/>
      <c r="U87" s="180"/>
      <c r="V87" s="180"/>
      <c r="W87" s="180"/>
      <c r="X87" s="180"/>
      <c r="Y87" s="180"/>
      <c r="Z87" s="180"/>
      <c r="AA87" s="180"/>
      <c r="AB87" s="180"/>
      <c r="AC87" s="180"/>
      <c r="AD87" s="180"/>
      <c r="AE87" s="257"/>
    </row>
    <row r="88" spans="2:31" x14ac:dyDescent="0.25">
      <c r="B88" s="247"/>
      <c r="C88" s="247"/>
      <c r="D88" s="194" t="s">
        <v>27</v>
      </c>
      <c r="E88" s="247"/>
      <c r="F88" s="194" t="s">
        <v>65</v>
      </c>
      <c r="G88" s="247"/>
      <c r="H88" s="194" t="s">
        <v>326</v>
      </c>
      <c r="I88" s="103"/>
      <c r="J88" s="247"/>
      <c r="K88" s="194" t="s">
        <v>253</v>
      </c>
      <c r="L88" s="277"/>
      <c r="M88" s="274"/>
      <c r="N88" s="274"/>
      <c r="O88" s="274"/>
      <c r="P88" s="256"/>
      <c r="Q88" s="180"/>
      <c r="R88" s="180"/>
      <c r="S88" s="180"/>
      <c r="T88" s="180"/>
      <c r="U88" s="180"/>
      <c r="V88" s="180"/>
      <c r="W88" s="180"/>
      <c r="X88" s="180"/>
      <c r="Y88" s="180"/>
      <c r="Z88" s="180"/>
      <c r="AA88" s="180"/>
      <c r="AB88" s="180"/>
      <c r="AC88" s="180"/>
      <c r="AD88" s="180"/>
      <c r="AE88" s="257"/>
    </row>
    <row r="89" spans="2:31" x14ac:dyDescent="0.25">
      <c r="B89" s="247"/>
      <c r="C89" s="247"/>
      <c r="D89" s="194" t="s">
        <v>27</v>
      </c>
      <c r="E89" s="247"/>
      <c r="F89" s="194" t="s">
        <v>65</v>
      </c>
      <c r="G89" s="247"/>
      <c r="H89" s="194" t="s">
        <v>326</v>
      </c>
      <c r="I89" s="103"/>
      <c r="J89" s="247"/>
      <c r="K89" s="194" t="s">
        <v>253</v>
      </c>
      <c r="L89" s="277"/>
      <c r="M89" s="274"/>
      <c r="N89" s="274"/>
      <c r="O89" s="274"/>
      <c r="P89" s="256"/>
      <c r="Q89" s="180"/>
      <c r="R89" s="180"/>
      <c r="S89" s="180"/>
      <c r="T89" s="180"/>
      <c r="U89" s="180"/>
      <c r="V89" s="180"/>
      <c r="W89" s="180"/>
      <c r="X89" s="180"/>
      <c r="Y89" s="180"/>
      <c r="Z89" s="180"/>
      <c r="AA89" s="180"/>
      <c r="AB89" s="180"/>
      <c r="AC89" s="180"/>
      <c r="AD89" s="180"/>
      <c r="AE89" s="257"/>
    </row>
    <row r="90" spans="2:31" x14ac:dyDescent="0.25">
      <c r="B90" s="247"/>
      <c r="C90" s="247"/>
      <c r="D90" s="194" t="s">
        <v>27</v>
      </c>
      <c r="E90" s="247"/>
      <c r="F90" s="194" t="s">
        <v>65</v>
      </c>
      <c r="G90" s="247"/>
      <c r="H90" s="194" t="s">
        <v>326</v>
      </c>
      <c r="I90" s="103"/>
      <c r="J90" s="247"/>
      <c r="K90" s="194" t="s">
        <v>253</v>
      </c>
      <c r="L90" s="277"/>
      <c r="M90" s="274"/>
      <c r="N90" s="274"/>
      <c r="O90" s="274"/>
      <c r="P90" s="256"/>
      <c r="Q90" s="180"/>
      <c r="R90" s="180"/>
      <c r="S90" s="180"/>
      <c r="T90" s="180"/>
      <c r="U90" s="180"/>
      <c r="V90" s="180"/>
      <c r="W90" s="180"/>
      <c r="X90" s="180"/>
      <c r="Y90" s="180"/>
      <c r="Z90" s="180"/>
      <c r="AA90" s="180"/>
      <c r="AB90" s="180"/>
      <c r="AC90" s="180"/>
      <c r="AD90" s="180"/>
      <c r="AE90" s="257"/>
    </row>
    <row r="91" spans="2:31" x14ac:dyDescent="0.25">
      <c r="B91" s="247"/>
      <c r="C91" s="247"/>
      <c r="D91" s="194" t="s">
        <v>27</v>
      </c>
      <c r="E91" s="247"/>
      <c r="F91" s="194" t="s">
        <v>65</v>
      </c>
      <c r="G91" s="247"/>
      <c r="H91" s="194" t="s">
        <v>326</v>
      </c>
      <c r="I91" s="103"/>
      <c r="J91" s="247"/>
      <c r="K91" s="194" t="s">
        <v>253</v>
      </c>
      <c r="L91" s="277"/>
      <c r="M91" s="274"/>
      <c r="N91" s="274"/>
      <c r="O91" s="274"/>
      <c r="P91" s="256"/>
      <c r="Q91" s="180"/>
      <c r="R91" s="180"/>
      <c r="S91" s="180"/>
      <c r="T91" s="180"/>
      <c r="U91" s="180"/>
      <c r="V91" s="180"/>
      <c r="W91" s="180"/>
      <c r="X91" s="180"/>
      <c r="Y91" s="180"/>
      <c r="Z91" s="180"/>
      <c r="AA91" s="180"/>
      <c r="AB91" s="180"/>
      <c r="AC91" s="180"/>
      <c r="AD91" s="180"/>
      <c r="AE91" s="257"/>
    </row>
    <row r="92" spans="2:31" x14ac:dyDescent="0.25">
      <c r="B92" s="247"/>
      <c r="C92" s="247"/>
      <c r="D92" s="194" t="s">
        <v>27</v>
      </c>
      <c r="E92" s="247"/>
      <c r="F92" s="194" t="s">
        <v>65</v>
      </c>
      <c r="G92" s="247"/>
      <c r="H92" s="194" t="s">
        <v>326</v>
      </c>
      <c r="I92" s="103"/>
      <c r="J92" s="247"/>
      <c r="K92" s="194" t="s">
        <v>253</v>
      </c>
      <c r="L92" s="277"/>
      <c r="M92" s="274"/>
      <c r="N92" s="274"/>
      <c r="O92" s="274"/>
      <c r="P92" s="258"/>
      <c r="Q92" s="259"/>
      <c r="R92" s="259"/>
      <c r="S92" s="259"/>
      <c r="T92" s="259"/>
      <c r="U92" s="259"/>
      <c r="V92" s="259"/>
      <c r="W92" s="259"/>
      <c r="X92" s="259"/>
      <c r="Y92" s="259"/>
      <c r="Z92" s="259"/>
      <c r="AA92" s="259"/>
      <c r="AB92" s="259"/>
      <c r="AC92" s="259"/>
      <c r="AD92" s="259"/>
      <c r="AE92" s="260"/>
    </row>
  </sheetData>
  <sheetProtection algorithmName="SHA-512" hashValue="yjawcuFI23IYJmLo72rgN2ZbB8LcvWOULAC7NXW5xd8ogTiYQNPtQ5pulRzhOCT3CpJfOa89DbazngsFzeLejg==" saltValue="sO7rf5KCZiBaa60NvG1fmg==" spinCount="100000" sheet="1" objects="1" scenarios="1"/>
  <phoneticPr fontId="2" type="noConversion"/>
  <pageMargins left="0.7" right="0.7" top="0.75" bottom="0.75" header="0.3" footer="0.3"/>
  <pageSetup orientation="portrait"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3CB21-C155-496D-8C21-1CB264ADAE9F}">
  <sheetPr>
    <tabColor theme="2"/>
  </sheetPr>
  <dimension ref="A2:U116"/>
  <sheetViews>
    <sheetView zoomScale="70" zoomScaleNormal="70" workbookViewId="0">
      <selection activeCell="I29" sqref="I29"/>
    </sheetView>
  </sheetViews>
  <sheetFormatPr defaultRowHeight="13.5" x14ac:dyDescent="0.25"/>
  <cols>
    <col min="1" max="1" width="9.140625" style="1"/>
    <col min="2" max="2" width="33.78515625" style="1" customWidth="1"/>
    <col min="3" max="3" width="10.35546875" style="1" customWidth="1"/>
    <col min="4" max="4" width="9.140625" style="1"/>
    <col min="5" max="5" width="14.640625" style="1" customWidth="1"/>
    <col min="6" max="6" width="19.140625" style="1" customWidth="1"/>
    <col min="7" max="7" width="14.42578125" style="1" customWidth="1"/>
    <col min="8" max="9" width="9.140625" style="1"/>
    <col min="10" max="10" width="11.28515625" style="1" customWidth="1"/>
    <col min="11" max="11" width="9.140625" style="1"/>
    <col min="12" max="12" width="21.35546875" style="1" customWidth="1"/>
    <col min="13" max="16384" width="9.140625" style="1"/>
  </cols>
  <sheetData>
    <row r="2" spans="2:18" ht="19" thickBot="1" x14ac:dyDescent="0.4">
      <c r="B2" s="2" t="s">
        <v>431</v>
      </c>
    </row>
    <row r="3" spans="2:18" ht="14" thickTop="1" x14ac:dyDescent="0.25"/>
    <row r="7" spans="2:18" x14ac:dyDescent="0.25">
      <c r="B7" s="12"/>
      <c r="C7" s="4"/>
      <c r="D7" s="4"/>
      <c r="E7" s="4"/>
      <c r="F7" s="4"/>
      <c r="G7" s="4"/>
      <c r="H7" s="4"/>
      <c r="I7" s="4"/>
      <c r="J7" s="4"/>
      <c r="K7" s="4"/>
      <c r="L7" s="4"/>
      <c r="M7" s="4"/>
      <c r="N7" s="4"/>
      <c r="O7" s="4"/>
      <c r="P7" s="4"/>
      <c r="Q7" s="4"/>
      <c r="R7" s="5"/>
    </row>
    <row r="8" spans="2:18" x14ac:dyDescent="0.25">
      <c r="B8" s="6" t="s">
        <v>274</v>
      </c>
      <c r="C8" s="304"/>
      <c r="D8" s="304"/>
      <c r="E8" s="304"/>
      <c r="F8" s="304"/>
      <c r="G8" s="304"/>
      <c r="H8" s="304"/>
      <c r="I8" s="304"/>
      <c r="J8" s="304"/>
      <c r="K8" s="304"/>
      <c r="L8" s="304"/>
      <c r="M8" s="304"/>
      <c r="N8" s="319" t="s">
        <v>373</v>
      </c>
      <c r="O8" s="304"/>
      <c r="P8" s="304"/>
      <c r="Q8" s="304"/>
      <c r="R8" s="7"/>
    </row>
    <row r="9" spans="2:18" x14ac:dyDescent="0.25">
      <c r="B9" s="8"/>
      <c r="C9" s="304"/>
      <c r="D9" s="304"/>
      <c r="E9" s="304"/>
      <c r="F9" s="304" t="s">
        <v>275</v>
      </c>
      <c r="G9" s="304"/>
      <c r="H9" s="304" t="s">
        <v>276</v>
      </c>
      <c r="I9" s="304"/>
      <c r="J9" s="304" t="s">
        <v>95</v>
      </c>
      <c r="K9" s="304"/>
      <c r="L9" s="304" t="s">
        <v>46</v>
      </c>
      <c r="M9" s="304"/>
      <c r="N9" s="304" t="s">
        <v>333</v>
      </c>
      <c r="O9" s="304"/>
      <c r="P9" s="304" t="s">
        <v>329</v>
      </c>
      <c r="Q9" s="304"/>
      <c r="R9" s="7"/>
    </row>
    <row r="10" spans="2:18" x14ac:dyDescent="0.25">
      <c r="B10" s="8" t="s">
        <v>32</v>
      </c>
      <c r="C10" s="304"/>
      <c r="D10" s="304" t="s">
        <v>52</v>
      </c>
      <c r="E10" s="304"/>
      <c r="F10" s="304" t="s">
        <v>30</v>
      </c>
      <c r="G10" s="304"/>
      <c r="H10" s="304" t="s">
        <v>30</v>
      </c>
      <c r="I10" s="304"/>
      <c r="J10" s="304" t="s">
        <v>30</v>
      </c>
      <c r="K10" s="304"/>
      <c r="L10" s="304" t="s">
        <v>205</v>
      </c>
      <c r="M10" s="304"/>
      <c r="N10" s="304" cm="1">
        <f t="array" ref="N10:N12">_xlfn.UNIQUE(Kustannukset!E79:E92,FALSE)</f>
        <v>30</v>
      </c>
      <c r="O10" s="304"/>
      <c r="P10" s="320" cm="1">
        <f t="array" ref="P10:P12">_xlfn.UNIQUE(Kustannukset!G79:G92,FALSE)</f>
        <v>30000</v>
      </c>
      <c r="Q10" s="304"/>
      <c r="R10" s="7"/>
    </row>
    <row r="11" spans="2:18" x14ac:dyDescent="0.25">
      <c r="B11" s="8" t="s">
        <v>29</v>
      </c>
      <c r="C11" s="304"/>
      <c r="D11" s="304" t="s">
        <v>50</v>
      </c>
      <c r="E11" s="304"/>
      <c r="F11" s="304" t="s">
        <v>258</v>
      </c>
      <c r="G11" s="304"/>
      <c r="H11" s="304" t="s">
        <v>27</v>
      </c>
      <c r="I11" s="304"/>
      <c r="J11" s="304" t="s">
        <v>277</v>
      </c>
      <c r="K11" s="304"/>
      <c r="L11" s="304" t="s">
        <v>48</v>
      </c>
      <c r="M11" s="304"/>
      <c r="N11" s="304">
        <v>60</v>
      </c>
      <c r="O11" s="304"/>
      <c r="P11" s="320">
        <v>60000</v>
      </c>
      <c r="Q11" s="304"/>
      <c r="R11" s="7"/>
    </row>
    <row r="12" spans="2:18" x14ac:dyDescent="0.25">
      <c r="B12" s="8" t="s">
        <v>26</v>
      </c>
      <c r="C12" s="304"/>
      <c r="D12" s="304" t="s">
        <v>45</v>
      </c>
      <c r="E12" s="304"/>
      <c r="F12" s="304" t="s">
        <v>259</v>
      </c>
      <c r="G12" s="304"/>
      <c r="H12" s="304" t="s">
        <v>278</v>
      </c>
      <c r="I12" s="304"/>
      <c r="J12" s="304" t="s">
        <v>260</v>
      </c>
      <c r="K12" s="304"/>
      <c r="L12" s="304" t="s">
        <v>216</v>
      </c>
      <c r="M12" s="304"/>
      <c r="N12" s="304">
        <v>0</v>
      </c>
      <c r="O12" s="304"/>
      <c r="P12" s="304">
        <v>0</v>
      </c>
      <c r="Q12" s="304"/>
      <c r="R12" s="7"/>
    </row>
    <row r="13" spans="2:18" x14ac:dyDescent="0.25">
      <c r="B13" s="8"/>
      <c r="C13" s="304"/>
      <c r="D13" s="304"/>
      <c r="E13" s="304"/>
      <c r="F13" s="304"/>
      <c r="G13" s="304"/>
      <c r="H13" s="304" t="s">
        <v>259</v>
      </c>
      <c r="I13" s="304"/>
      <c r="J13" s="304"/>
      <c r="K13" s="304"/>
      <c r="L13" s="304" t="s">
        <v>220</v>
      </c>
      <c r="M13" s="304"/>
      <c r="N13" s="304"/>
      <c r="O13" s="304"/>
      <c r="P13" s="304"/>
      <c r="Q13" s="304"/>
      <c r="R13" s="7"/>
    </row>
    <row r="14" spans="2:18" x14ac:dyDescent="0.25">
      <c r="B14" s="8"/>
      <c r="C14" s="304"/>
      <c r="D14" s="304"/>
      <c r="E14" s="304"/>
      <c r="F14" s="304"/>
      <c r="G14" s="304"/>
      <c r="H14" s="304"/>
      <c r="I14" s="304"/>
      <c r="J14" s="304"/>
      <c r="K14" s="304"/>
      <c r="L14" s="304" t="s">
        <v>84</v>
      </c>
      <c r="M14" s="304"/>
      <c r="N14" s="304"/>
      <c r="O14" s="304"/>
      <c r="P14" s="304"/>
      <c r="Q14" s="304"/>
      <c r="R14" s="7"/>
    </row>
    <row r="15" spans="2:18" x14ac:dyDescent="0.25">
      <c r="B15" s="8"/>
      <c r="C15" s="304"/>
      <c r="D15" s="304"/>
      <c r="E15" s="304"/>
      <c r="F15" s="304"/>
      <c r="G15" s="304"/>
      <c r="H15" s="304"/>
      <c r="I15" s="304"/>
      <c r="J15" s="304"/>
      <c r="K15" s="304"/>
      <c r="L15" s="304" t="s">
        <v>229</v>
      </c>
      <c r="M15" s="304"/>
      <c r="N15" s="304"/>
      <c r="O15" s="304"/>
      <c r="P15" s="304"/>
      <c r="Q15" s="304"/>
      <c r="R15" s="7"/>
    </row>
    <row r="16" spans="2:18" x14ac:dyDescent="0.25">
      <c r="B16" s="8"/>
      <c r="C16" s="304"/>
      <c r="D16" s="304"/>
      <c r="E16" s="304"/>
      <c r="F16" s="304"/>
      <c r="G16" s="304"/>
      <c r="H16" s="304"/>
      <c r="I16" s="304"/>
      <c r="J16" s="304"/>
      <c r="K16" s="304"/>
      <c r="L16" s="304" t="s">
        <v>231</v>
      </c>
      <c r="M16" s="304"/>
      <c r="N16" s="304"/>
      <c r="O16" s="304"/>
      <c r="P16" s="304"/>
      <c r="Q16" s="304"/>
      <c r="R16" s="7"/>
    </row>
    <row r="17" spans="1:18" x14ac:dyDescent="0.25">
      <c r="B17" s="8"/>
      <c r="C17" s="304"/>
      <c r="D17" s="304"/>
      <c r="E17" s="304"/>
      <c r="F17" s="304"/>
      <c r="G17" s="304"/>
      <c r="H17" s="304"/>
      <c r="I17" s="304"/>
      <c r="J17" s="304"/>
      <c r="K17" s="304"/>
      <c r="L17" s="304"/>
      <c r="M17" s="304"/>
      <c r="N17" s="304"/>
      <c r="O17" s="304"/>
      <c r="P17" s="304"/>
      <c r="Q17" s="304"/>
      <c r="R17" s="7"/>
    </row>
    <row r="18" spans="1:18" x14ac:dyDescent="0.25">
      <c r="B18" s="9"/>
      <c r="C18" s="10"/>
      <c r="D18" s="10"/>
      <c r="E18" s="10"/>
      <c r="F18" s="10"/>
      <c r="G18" s="10"/>
      <c r="H18" s="10"/>
      <c r="I18" s="10"/>
      <c r="J18" s="10"/>
      <c r="K18" s="10"/>
      <c r="L18" s="10"/>
      <c r="M18" s="10"/>
      <c r="N18" s="10"/>
      <c r="O18" s="10"/>
      <c r="P18" s="10"/>
      <c r="Q18" s="10"/>
      <c r="R18" s="11"/>
    </row>
    <row r="22" spans="1:18" x14ac:dyDescent="0.25">
      <c r="A22" s="310"/>
      <c r="B22" s="311" t="s">
        <v>279</v>
      </c>
      <c r="C22" s="310"/>
      <c r="D22" s="310"/>
      <c r="E22" s="310"/>
      <c r="F22" s="310"/>
      <c r="G22" s="310"/>
      <c r="H22" s="310"/>
      <c r="I22" s="310"/>
      <c r="J22" s="310"/>
      <c r="K22" s="310"/>
      <c r="L22" s="310"/>
      <c r="M22" s="310"/>
      <c r="N22" s="310"/>
      <c r="O22" s="310"/>
    </row>
    <row r="23" spans="1:18" ht="40.5" x14ac:dyDescent="0.25">
      <c r="A23" s="36" t="s">
        <v>9</v>
      </c>
      <c r="B23" s="305" t="s">
        <v>280</v>
      </c>
      <c r="C23" s="36" t="s">
        <v>281</v>
      </c>
      <c r="E23" s="36" t="s">
        <v>82</v>
      </c>
      <c r="F23" s="305" t="s">
        <v>280</v>
      </c>
      <c r="G23" s="36" t="s">
        <v>281</v>
      </c>
    </row>
    <row r="24" spans="1:18" x14ac:dyDescent="0.25">
      <c r="B24" s="15" t="b" cm="1">
        <f t="array" ref="B24:B56">IF(Laskentasivu!H6:H38="m3",Laskentasivu!G6:G38*VLOOKUP(Laskentasivu!F6:F38,Päästökertoimet!C5:I59,4,FALSE))</f>
        <v>0</v>
      </c>
      <c r="C24" s="17">
        <f>SUM(_xlfn.ANCHORARRAY(Aputaulukko!B24))</f>
        <v>0</v>
      </c>
      <c r="F24" s="15" t="b" cm="1">
        <f t="array" ref="F24:F56">IF(Laskentasivu!H102:H134="m3",Laskentasivu!G102:G134*VLOOKUP(Laskentasivu!F102:F134,Päästökertoimet!C5:I59,4,FALSE))</f>
        <v>0</v>
      </c>
      <c r="G24" s="17">
        <f>SUM(_xlfn.ANCHORARRAY(F24))</f>
        <v>0</v>
      </c>
    </row>
    <row r="25" spans="1:18" x14ac:dyDescent="0.25">
      <c r="B25" s="15" t="b">
        <v>0</v>
      </c>
      <c r="F25" s="15" t="b">
        <v>0</v>
      </c>
    </row>
    <row r="26" spans="1:18" x14ac:dyDescent="0.25">
      <c r="B26" s="15" t="b">
        <v>0</v>
      </c>
      <c r="F26" s="15" t="b">
        <v>0</v>
      </c>
    </row>
    <row r="27" spans="1:18" x14ac:dyDescent="0.25">
      <c r="B27" s="15" t="b">
        <v>0</v>
      </c>
      <c r="F27" s="15" t="b">
        <v>0</v>
      </c>
    </row>
    <row r="28" spans="1:18" x14ac:dyDescent="0.25">
      <c r="B28" s="15" t="b">
        <v>0</v>
      </c>
      <c r="F28" s="15" t="b">
        <v>0</v>
      </c>
    </row>
    <row r="29" spans="1:18" x14ac:dyDescent="0.25">
      <c r="B29" s="15" t="b">
        <v>0</v>
      </c>
      <c r="F29" s="15" t="b">
        <v>0</v>
      </c>
    </row>
    <row r="30" spans="1:18" x14ac:dyDescent="0.25">
      <c r="B30" s="15" t="b">
        <v>0</v>
      </c>
      <c r="F30" s="15" t="b">
        <v>0</v>
      </c>
    </row>
    <row r="31" spans="1:18" x14ac:dyDescent="0.25">
      <c r="B31" s="15" t="b">
        <v>0</v>
      </c>
      <c r="F31" s="15" t="b">
        <v>0</v>
      </c>
    </row>
    <row r="32" spans="1:18" x14ac:dyDescent="0.25">
      <c r="B32" s="15" t="b">
        <v>0</v>
      </c>
      <c r="F32" s="15" t="b">
        <v>0</v>
      </c>
    </row>
    <row r="33" spans="2:6" x14ac:dyDescent="0.25">
      <c r="B33" s="15" t="b">
        <v>0</v>
      </c>
      <c r="F33" s="15" t="b">
        <v>0</v>
      </c>
    </row>
    <row r="34" spans="2:6" x14ac:dyDescent="0.25">
      <c r="B34" s="15" t="b">
        <v>0</v>
      </c>
      <c r="F34" s="15" t="b">
        <v>0</v>
      </c>
    </row>
    <row r="35" spans="2:6" x14ac:dyDescent="0.25">
      <c r="B35" s="15" t="b">
        <v>0</v>
      </c>
      <c r="F35" s="15" t="b">
        <v>0</v>
      </c>
    </row>
    <row r="36" spans="2:6" x14ac:dyDescent="0.25">
      <c r="B36" s="15" t="b">
        <v>0</v>
      </c>
      <c r="F36" s="15" t="b">
        <v>0</v>
      </c>
    </row>
    <row r="37" spans="2:6" x14ac:dyDescent="0.25">
      <c r="B37" s="15" t="b">
        <v>0</v>
      </c>
      <c r="F37" s="15" t="b">
        <v>0</v>
      </c>
    </row>
    <row r="38" spans="2:6" x14ac:dyDescent="0.25">
      <c r="B38" s="15" t="b">
        <v>0</v>
      </c>
      <c r="F38" s="15" t="b">
        <v>0</v>
      </c>
    </row>
    <row r="39" spans="2:6" x14ac:dyDescent="0.25">
      <c r="B39" s="15" t="b">
        <v>0</v>
      </c>
      <c r="F39" s="15" t="b">
        <v>0</v>
      </c>
    </row>
    <row r="40" spans="2:6" x14ac:dyDescent="0.25">
      <c r="B40" s="15" t="b">
        <v>0</v>
      </c>
      <c r="F40" s="15" t="b">
        <v>0</v>
      </c>
    </row>
    <row r="41" spans="2:6" x14ac:dyDescent="0.25">
      <c r="B41" s="15" t="b">
        <v>0</v>
      </c>
      <c r="F41" s="15" t="b">
        <v>0</v>
      </c>
    </row>
    <row r="42" spans="2:6" x14ac:dyDescent="0.25">
      <c r="B42" s="15" t="b">
        <v>0</v>
      </c>
      <c r="F42" s="15" t="b">
        <v>0</v>
      </c>
    </row>
    <row r="43" spans="2:6" x14ac:dyDescent="0.25">
      <c r="B43" s="15" t="b">
        <v>0</v>
      </c>
      <c r="F43" s="15" t="b">
        <v>0</v>
      </c>
    </row>
    <row r="44" spans="2:6" x14ac:dyDescent="0.25">
      <c r="B44" s="15" t="b">
        <v>0</v>
      </c>
      <c r="F44" s="15" t="b">
        <v>0</v>
      </c>
    </row>
    <row r="45" spans="2:6" x14ac:dyDescent="0.25">
      <c r="B45" s="15" t="b">
        <v>0</v>
      </c>
      <c r="F45" s="15" t="b">
        <v>0</v>
      </c>
    </row>
    <row r="46" spans="2:6" x14ac:dyDescent="0.25">
      <c r="B46" s="15" t="b">
        <v>0</v>
      </c>
      <c r="F46" s="15" t="b">
        <v>0</v>
      </c>
    </row>
    <row r="47" spans="2:6" x14ac:dyDescent="0.25">
      <c r="B47" s="15" t="b">
        <v>0</v>
      </c>
      <c r="F47" s="15" t="b">
        <v>0</v>
      </c>
    </row>
    <row r="48" spans="2:6" x14ac:dyDescent="0.25">
      <c r="B48" s="15" t="b">
        <v>0</v>
      </c>
      <c r="F48" s="15" t="b">
        <v>0</v>
      </c>
    </row>
    <row r="49" spans="1:21" x14ac:dyDescent="0.25">
      <c r="B49" s="15" t="b">
        <v>0</v>
      </c>
      <c r="F49" s="15" t="b">
        <v>0</v>
      </c>
    </row>
    <row r="50" spans="1:21" x14ac:dyDescent="0.25">
      <c r="B50" s="15" t="b">
        <v>0</v>
      </c>
      <c r="F50" s="15" t="b">
        <v>0</v>
      </c>
    </row>
    <row r="51" spans="1:21" x14ac:dyDescent="0.25">
      <c r="B51" s="15" t="b">
        <v>0</v>
      </c>
      <c r="F51" s="15" t="b">
        <v>0</v>
      </c>
    </row>
    <row r="52" spans="1:21" x14ac:dyDescent="0.25">
      <c r="B52" s="15" t="b">
        <v>0</v>
      </c>
      <c r="F52" s="15" t="b">
        <v>0</v>
      </c>
    </row>
    <row r="53" spans="1:21" x14ac:dyDescent="0.25">
      <c r="B53" s="15" t="b">
        <v>0</v>
      </c>
      <c r="F53" s="15" t="b">
        <v>0</v>
      </c>
    </row>
    <row r="54" spans="1:21" x14ac:dyDescent="0.25">
      <c r="B54" s="15" t="b">
        <v>0</v>
      </c>
      <c r="F54" s="15" t="b">
        <v>0</v>
      </c>
    </row>
    <row r="55" spans="1:21" x14ac:dyDescent="0.25">
      <c r="B55" s="15" t="b">
        <v>0</v>
      </c>
      <c r="F55" s="15" t="b">
        <v>0</v>
      </c>
    </row>
    <row r="56" spans="1:21" x14ac:dyDescent="0.25">
      <c r="B56" s="15" t="b">
        <v>0</v>
      </c>
      <c r="F56" s="15" t="b">
        <v>0</v>
      </c>
    </row>
    <row r="57" spans="1:21" x14ac:dyDescent="0.25">
      <c r="B57" s="15"/>
      <c r="F57" s="15"/>
    </row>
    <row r="58" spans="1:21" x14ac:dyDescent="0.25">
      <c r="B58" s="15"/>
      <c r="F58" s="15"/>
    </row>
    <row r="59" spans="1:21" x14ac:dyDescent="0.25">
      <c r="B59" s="15"/>
      <c r="F59" s="15"/>
    </row>
    <row r="60" spans="1:21" x14ac:dyDescent="0.25">
      <c r="B60" s="64"/>
      <c r="F60" s="64"/>
    </row>
    <row r="62" spans="1:21" x14ac:dyDescent="0.25">
      <c r="A62" s="311"/>
      <c r="B62" s="311" t="s">
        <v>257</v>
      </c>
      <c r="C62" s="310"/>
      <c r="D62" s="310"/>
      <c r="E62" s="310"/>
      <c r="F62" s="310"/>
      <c r="G62" s="310"/>
      <c r="H62" s="310"/>
      <c r="I62" s="310"/>
      <c r="J62" s="310"/>
      <c r="K62" s="310"/>
      <c r="L62" s="310"/>
      <c r="M62" s="310"/>
      <c r="N62" s="310"/>
      <c r="O62" s="310"/>
    </row>
    <row r="63" spans="1:21" x14ac:dyDescent="0.25">
      <c r="B63" s="1" t="s">
        <v>282</v>
      </c>
      <c r="G63" s="1" t="s">
        <v>283</v>
      </c>
      <c r="L63" s="1" t="s">
        <v>284</v>
      </c>
    </row>
    <row r="64" spans="1:21" x14ac:dyDescent="0.25">
      <c r="B64" s="12" t="s">
        <v>285</v>
      </c>
      <c r="C64" s="4" t="s">
        <v>286</v>
      </c>
      <c r="D64" s="4" t="s">
        <v>258</v>
      </c>
      <c r="E64" s="4" t="s">
        <v>287</v>
      </c>
      <c r="F64" s="5"/>
      <c r="G64" s="12" t="s">
        <v>285</v>
      </c>
      <c r="H64" s="4" t="s">
        <v>286</v>
      </c>
      <c r="I64" s="4" t="s">
        <v>258</v>
      </c>
      <c r="J64" s="4" t="s">
        <v>287</v>
      </c>
      <c r="K64" s="5"/>
      <c r="L64" s="12"/>
      <c r="M64" s="4"/>
      <c r="N64" s="4"/>
      <c r="O64" s="4"/>
      <c r="P64" s="4"/>
      <c r="Q64" s="4"/>
      <c r="R64" s="4"/>
      <c r="S64" s="4"/>
      <c r="T64" s="4"/>
      <c r="U64" s="5"/>
    </row>
    <row r="65" spans="2:21" x14ac:dyDescent="0.25">
      <c r="B65" s="8">
        <v>211</v>
      </c>
      <c r="C65" s="304">
        <v>87</v>
      </c>
      <c r="D65" s="304">
        <f>C65/B65</f>
        <v>0.41232227488151657</v>
      </c>
      <c r="E65" s="304"/>
      <c r="F65" s="7"/>
      <c r="G65" s="8">
        <v>3880</v>
      </c>
      <c r="H65" s="304">
        <v>993</v>
      </c>
      <c r="I65" s="304">
        <f>H65/G65</f>
        <v>0.25592783505154637</v>
      </c>
      <c r="J65" s="304"/>
      <c r="K65" s="7"/>
      <c r="L65" s="8">
        <v>653.4</v>
      </c>
      <c r="M65" s="304" t="s">
        <v>286</v>
      </c>
      <c r="N65" s="304"/>
      <c r="O65" s="304"/>
      <c r="P65" s="304"/>
      <c r="Q65" s="304"/>
      <c r="R65" s="304"/>
      <c r="S65" s="304"/>
      <c r="T65" s="304"/>
      <c r="U65" s="7"/>
    </row>
    <row r="66" spans="2:21" x14ac:dyDescent="0.25">
      <c r="B66" s="8">
        <v>316</v>
      </c>
      <c r="C66" s="304">
        <v>107</v>
      </c>
      <c r="D66" s="304">
        <f t="shared" ref="D66" si="0">C66/B66</f>
        <v>0.33860759493670883</v>
      </c>
      <c r="E66" s="304"/>
      <c r="F66" s="7"/>
      <c r="G66" s="8">
        <v>3880</v>
      </c>
      <c r="H66" s="304">
        <v>1050</v>
      </c>
      <c r="I66" s="304">
        <f t="shared" ref="I66:I71" si="1">H66/G66</f>
        <v>0.27061855670103091</v>
      </c>
      <c r="J66" s="304"/>
      <c r="K66" s="7"/>
      <c r="L66" s="8">
        <v>99</v>
      </c>
      <c r="M66" s="304" t="s">
        <v>285</v>
      </c>
      <c r="N66" s="304" t="s">
        <v>288</v>
      </c>
      <c r="O66" s="304"/>
      <c r="P66" s="304"/>
      <c r="Q66" s="304"/>
      <c r="R66" s="304"/>
      <c r="S66" s="304"/>
      <c r="T66" s="304"/>
      <c r="U66" s="7"/>
    </row>
    <row r="67" spans="2:21" x14ac:dyDescent="0.25">
      <c r="B67" s="8">
        <v>421</v>
      </c>
      <c r="C67" s="304">
        <v>126</v>
      </c>
      <c r="D67" s="304">
        <f>C67/B67</f>
        <v>0.29928741092636579</v>
      </c>
      <c r="E67" s="304"/>
      <c r="F67" s="7"/>
      <c r="G67" s="8">
        <v>125</v>
      </c>
      <c r="H67" s="304">
        <v>42</v>
      </c>
      <c r="I67" s="304">
        <f t="shared" si="1"/>
        <v>0.33600000000000002</v>
      </c>
      <c r="J67" s="304"/>
      <c r="K67" s="7"/>
      <c r="L67" s="8">
        <f>L65/L66</f>
        <v>6.6</v>
      </c>
      <c r="M67" s="304" t="s">
        <v>258</v>
      </c>
      <c r="N67" s="304" t="s">
        <v>289</v>
      </c>
      <c r="O67" s="304"/>
      <c r="P67" s="304"/>
      <c r="Q67" s="304"/>
      <c r="R67" s="304"/>
      <c r="S67" s="304"/>
      <c r="T67" s="304"/>
      <c r="U67" s="7"/>
    </row>
    <row r="68" spans="2:21" x14ac:dyDescent="0.25">
      <c r="B68" s="8">
        <v>526</v>
      </c>
      <c r="C68" s="304">
        <v>151</v>
      </c>
      <c r="D68" s="304">
        <f>C68/B68</f>
        <v>0.28707224334600762</v>
      </c>
      <c r="E68" s="304"/>
      <c r="F68" s="7"/>
      <c r="G68" s="8">
        <v>600</v>
      </c>
      <c r="H68" s="304">
        <v>184</v>
      </c>
      <c r="I68" s="304">
        <f t="shared" si="1"/>
        <v>0.30666666666666664</v>
      </c>
      <c r="J68" s="304"/>
      <c r="K68" s="7"/>
      <c r="L68" s="8"/>
      <c r="M68" s="304"/>
      <c r="N68" s="304"/>
      <c r="O68" s="304"/>
      <c r="P68" s="304"/>
      <c r="Q68" s="304"/>
      <c r="R68" s="304"/>
      <c r="S68" s="304"/>
      <c r="T68" s="304"/>
      <c r="U68" s="7"/>
    </row>
    <row r="69" spans="2:21" x14ac:dyDescent="0.25">
      <c r="B69" s="8">
        <v>951</v>
      </c>
      <c r="C69" s="304">
        <v>506</v>
      </c>
      <c r="D69" s="304">
        <f>C69/B69</f>
        <v>0.53207150368033651</v>
      </c>
      <c r="E69" s="304"/>
      <c r="F69" s="7"/>
      <c r="G69" s="8">
        <v>535</v>
      </c>
      <c r="H69" s="304">
        <v>115</v>
      </c>
      <c r="I69" s="304">
        <f t="shared" si="1"/>
        <v>0.21495327102803738</v>
      </c>
      <c r="J69" s="304"/>
      <c r="K69" s="7"/>
      <c r="L69" s="8">
        <v>882</v>
      </c>
      <c r="M69" s="304" t="s">
        <v>286</v>
      </c>
      <c r="N69" s="304"/>
      <c r="O69" s="304"/>
      <c r="P69" s="304"/>
      <c r="Q69" s="304"/>
      <c r="R69" s="304"/>
      <c r="S69" s="304"/>
      <c r="T69" s="304"/>
      <c r="U69" s="7"/>
    </row>
    <row r="70" spans="2:21" x14ac:dyDescent="0.25">
      <c r="B70" s="8">
        <v>1423</v>
      </c>
      <c r="C70" s="304">
        <v>600</v>
      </c>
      <c r="D70" s="304">
        <f>C70/B70</f>
        <v>0.42164441321152496</v>
      </c>
      <c r="E70" s="304" t="s">
        <v>290</v>
      </c>
      <c r="F70" s="7"/>
      <c r="G70" s="8">
        <v>535</v>
      </c>
      <c r="H70" s="304">
        <v>183</v>
      </c>
      <c r="I70" s="304">
        <f t="shared" si="1"/>
        <v>0.34205607476635513</v>
      </c>
      <c r="J70" s="304" t="s">
        <v>291</v>
      </c>
      <c r="K70" s="7"/>
      <c r="L70" s="8">
        <v>113.4</v>
      </c>
      <c r="M70" s="304" t="s">
        <v>285</v>
      </c>
      <c r="N70" s="304" t="s">
        <v>292</v>
      </c>
      <c r="O70" s="304"/>
      <c r="P70" s="304"/>
      <c r="Q70" s="304"/>
      <c r="R70" s="304"/>
      <c r="S70" s="304"/>
      <c r="T70" s="304"/>
      <c r="U70" s="7"/>
    </row>
    <row r="71" spans="2:21" x14ac:dyDescent="0.25">
      <c r="B71" s="8">
        <v>1897</v>
      </c>
      <c r="C71" s="304">
        <v>693</v>
      </c>
      <c r="D71" s="304">
        <f>C71/B71</f>
        <v>0.36531365313653136</v>
      </c>
      <c r="E71" s="304" t="s">
        <v>293</v>
      </c>
      <c r="F71" s="7"/>
      <c r="G71" s="8">
        <v>6500</v>
      </c>
      <c r="H71" s="304">
        <v>1764</v>
      </c>
      <c r="I71" s="304">
        <f t="shared" si="1"/>
        <v>0.27138461538461539</v>
      </c>
      <c r="J71" s="304" t="s">
        <v>294</v>
      </c>
      <c r="K71" s="7"/>
      <c r="L71" s="8">
        <f>L69/L70</f>
        <v>7.7777777777777777</v>
      </c>
      <c r="M71" s="304" t="s">
        <v>258</v>
      </c>
      <c r="N71" s="304" t="s">
        <v>295</v>
      </c>
      <c r="O71" s="304"/>
      <c r="P71" s="304"/>
      <c r="Q71" s="304"/>
      <c r="R71" s="304"/>
      <c r="S71" s="304"/>
      <c r="T71" s="304"/>
      <c r="U71" s="7"/>
    </row>
    <row r="72" spans="2:21" x14ac:dyDescent="0.25">
      <c r="B72" s="8"/>
      <c r="C72" s="304"/>
      <c r="D72" s="304"/>
      <c r="E72" s="304"/>
      <c r="F72" s="7"/>
      <c r="G72" s="8"/>
      <c r="H72" s="304"/>
      <c r="I72" s="304"/>
      <c r="J72" s="304"/>
      <c r="K72" s="7"/>
      <c r="L72" s="8"/>
      <c r="M72" s="304"/>
      <c r="N72" s="304"/>
      <c r="O72" s="304"/>
      <c r="P72" s="304"/>
      <c r="Q72" s="304"/>
      <c r="R72" s="304"/>
      <c r="S72" s="304"/>
      <c r="T72" s="304"/>
      <c r="U72" s="7"/>
    </row>
    <row r="73" spans="2:21" x14ac:dyDescent="0.25">
      <c r="B73" s="8">
        <v>500</v>
      </c>
      <c r="C73" s="304">
        <v>154</v>
      </c>
      <c r="D73" s="304">
        <f>C73/B73</f>
        <v>0.308</v>
      </c>
      <c r="E73" s="304" t="s">
        <v>296</v>
      </c>
      <c r="F73" s="7"/>
      <c r="G73" s="8">
        <v>725</v>
      </c>
      <c r="H73" s="304">
        <v>158</v>
      </c>
      <c r="I73" s="304">
        <f>H73/G73</f>
        <v>0.21793103448275863</v>
      </c>
      <c r="J73" s="304"/>
      <c r="K73" s="7"/>
      <c r="L73" s="8">
        <v>29.95</v>
      </c>
      <c r="M73" s="304" t="s">
        <v>286</v>
      </c>
      <c r="N73" s="304"/>
      <c r="O73" s="304"/>
      <c r="P73" s="304"/>
      <c r="Q73" s="304"/>
      <c r="R73" s="304"/>
      <c r="S73" s="304"/>
      <c r="T73" s="304"/>
      <c r="U73" s="7"/>
    </row>
    <row r="74" spans="2:21" x14ac:dyDescent="0.25">
      <c r="B74" s="8"/>
      <c r="C74" s="304"/>
      <c r="D74" s="304"/>
      <c r="E74" s="304"/>
      <c r="F74" s="7"/>
      <c r="G74" s="8">
        <v>748</v>
      </c>
      <c r="H74" s="304">
        <v>208</v>
      </c>
      <c r="I74" s="304">
        <f t="shared" ref="I74:I78" si="2">H74/G74</f>
        <v>0.27807486631016043</v>
      </c>
      <c r="J74" s="304"/>
      <c r="K74" s="7"/>
      <c r="L74" s="8">
        <v>5</v>
      </c>
      <c r="M74" s="304" t="s">
        <v>285</v>
      </c>
      <c r="N74" s="304" t="s">
        <v>297</v>
      </c>
      <c r="O74" s="304"/>
      <c r="P74" s="304"/>
      <c r="Q74" s="304"/>
      <c r="R74" s="304"/>
      <c r="S74" s="304"/>
      <c r="T74" s="304"/>
      <c r="U74" s="7"/>
    </row>
    <row r="75" spans="2:21" x14ac:dyDescent="0.25">
      <c r="B75" s="8">
        <v>800</v>
      </c>
      <c r="C75" s="304">
        <v>409</v>
      </c>
      <c r="D75" s="304">
        <f>C75/B75</f>
        <v>0.51124999999999998</v>
      </c>
      <c r="E75" s="304"/>
      <c r="F75" s="7"/>
      <c r="G75" s="8">
        <v>980</v>
      </c>
      <c r="H75" s="304">
        <v>198</v>
      </c>
      <c r="I75" s="304">
        <f t="shared" si="2"/>
        <v>0.20204081632653062</v>
      </c>
      <c r="J75" s="304"/>
      <c r="K75" s="7"/>
      <c r="L75" s="8">
        <f>L73/L74</f>
        <v>5.99</v>
      </c>
      <c r="M75" s="304" t="s">
        <v>258</v>
      </c>
      <c r="N75" s="304" t="s">
        <v>298</v>
      </c>
      <c r="O75" s="304"/>
      <c r="P75" s="304"/>
      <c r="Q75" s="304"/>
      <c r="R75" s="304"/>
      <c r="S75" s="304"/>
      <c r="T75" s="304"/>
      <c r="U75" s="7"/>
    </row>
    <row r="76" spans="2:21" x14ac:dyDescent="0.25">
      <c r="B76" s="8">
        <v>1560</v>
      </c>
      <c r="C76" s="304">
        <v>514</v>
      </c>
      <c r="D76" s="304">
        <f t="shared" ref="D76:D78" si="3">C76/B76</f>
        <v>0.32948717948717948</v>
      </c>
      <c r="E76" s="304"/>
      <c r="F76" s="7"/>
      <c r="G76" s="8">
        <v>1013</v>
      </c>
      <c r="H76" s="304">
        <v>268</v>
      </c>
      <c r="I76" s="304">
        <f t="shared" si="2"/>
        <v>0.26456071076011844</v>
      </c>
      <c r="J76" s="304"/>
      <c r="K76" s="7"/>
      <c r="L76" s="8"/>
      <c r="M76" s="304"/>
      <c r="N76" s="304"/>
      <c r="O76" s="304"/>
      <c r="P76" s="304"/>
      <c r="Q76" s="304"/>
      <c r="R76" s="304"/>
      <c r="S76" s="304"/>
      <c r="T76" s="304"/>
      <c r="U76" s="7"/>
    </row>
    <row r="77" spans="2:21" x14ac:dyDescent="0.25">
      <c r="B77" s="8">
        <v>1100</v>
      </c>
      <c r="C77" s="304">
        <v>417</v>
      </c>
      <c r="D77" s="304">
        <f t="shared" si="3"/>
        <v>0.37909090909090909</v>
      </c>
      <c r="E77" s="304" t="s">
        <v>299</v>
      </c>
      <c r="F77" s="7"/>
      <c r="G77" s="8">
        <v>1950</v>
      </c>
      <c r="H77" s="304">
        <v>425</v>
      </c>
      <c r="I77" s="304">
        <f>H77/G77</f>
        <v>0.21794871794871795</v>
      </c>
      <c r="J77" s="304" t="s">
        <v>300</v>
      </c>
      <c r="K77" s="7"/>
      <c r="L77" s="8"/>
      <c r="M77" s="304"/>
      <c r="N77" s="304"/>
      <c r="O77" s="304"/>
      <c r="P77" s="304"/>
      <c r="Q77" s="304"/>
      <c r="R77" s="304"/>
      <c r="S77" s="304"/>
      <c r="T77" s="304"/>
      <c r="U77" s="7"/>
    </row>
    <row r="78" spans="2:21" x14ac:dyDescent="0.25">
      <c r="B78" s="8">
        <v>2000</v>
      </c>
      <c r="C78" s="304">
        <v>602</v>
      </c>
      <c r="D78" s="304">
        <f t="shared" si="3"/>
        <v>0.30099999999999999</v>
      </c>
      <c r="E78" s="304" t="s">
        <v>301</v>
      </c>
      <c r="F78" s="7"/>
      <c r="G78" s="8">
        <v>1962</v>
      </c>
      <c r="H78" s="304">
        <v>475</v>
      </c>
      <c r="I78" s="304">
        <f t="shared" si="2"/>
        <v>0.24209989806320081</v>
      </c>
      <c r="J78" s="304" t="s">
        <v>293</v>
      </c>
      <c r="K78" s="7"/>
      <c r="L78" s="8"/>
      <c r="M78" s="304"/>
      <c r="N78" s="304"/>
      <c r="O78" s="304"/>
      <c r="P78" s="304"/>
      <c r="Q78" s="304"/>
      <c r="R78" s="304"/>
      <c r="S78" s="304"/>
      <c r="T78" s="304"/>
      <c r="U78" s="7"/>
    </row>
    <row r="79" spans="2:21" x14ac:dyDescent="0.25">
      <c r="B79" s="8"/>
      <c r="C79" s="304"/>
      <c r="D79" s="304"/>
      <c r="E79" s="304"/>
      <c r="F79" s="7"/>
      <c r="G79" s="8"/>
      <c r="H79" s="304"/>
      <c r="I79" s="304"/>
      <c r="J79" s="304"/>
      <c r="K79" s="7"/>
      <c r="L79" s="8"/>
      <c r="M79" s="304"/>
      <c r="N79" s="304"/>
      <c r="O79" s="304"/>
      <c r="P79" s="304"/>
      <c r="Q79" s="304"/>
      <c r="R79" s="304"/>
      <c r="S79" s="304"/>
      <c r="T79" s="304"/>
      <c r="U79" s="7"/>
    </row>
    <row r="80" spans="2:21" x14ac:dyDescent="0.25">
      <c r="B80" s="9"/>
      <c r="C80" s="10"/>
      <c r="D80" s="312">
        <f>AVERAGE(D65:D78)</f>
        <v>0.3737622652247567</v>
      </c>
      <c r="E80" s="10" t="s">
        <v>258</v>
      </c>
      <c r="F80" s="11"/>
      <c r="G80" s="9"/>
      <c r="H80" s="10"/>
      <c r="I80" s="312">
        <f>AVERAGE(I65:I78)</f>
        <v>0.26309715872997991</v>
      </c>
      <c r="J80" s="10" t="s">
        <v>258</v>
      </c>
      <c r="K80" s="11"/>
      <c r="L80" s="313">
        <f>AVERAGE(L67,L71,L75)</f>
        <v>6.789259259259258</v>
      </c>
      <c r="M80" s="10" t="s">
        <v>258</v>
      </c>
      <c r="N80" s="10"/>
      <c r="O80" s="10"/>
      <c r="P80" s="10"/>
      <c r="Q80" s="10"/>
      <c r="R80" s="10"/>
      <c r="S80" s="10"/>
      <c r="T80" s="10"/>
      <c r="U80" s="11"/>
    </row>
    <row r="82" spans="2:21" x14ac:dyDescent="0.25">
      <c r="B82" s="1" t="s">
        <v>302</v>
      </c>
      <c r="G82" s="1" t="s">
        <v>303</v>
      </c>
      <c r="L82" s="1" t="s">
        <v>304</v>
      </c>
    </row>
    <row r="83" spans="2:21" x14ac:dyDescent="0.25">
      <c r="B83" s="12" t="s">
        <v>286</v>
      </c>
      <c r="C83" s="4" t="s">
        <v>285</v>
      </c>
      <c r="D83" s="4" t="s">
        <v>258</v>
      </c>
      <c r="E83" s="4" t="s">
        <v>181</v>
      </c>
      <c r="F83" s="5"/>
      <c r="G83" s="12" t="s">
        <v>286</v>
      </c>
      <c r="H83" s="4" t="s">
        <v>258</v>
      </c>
      <c r="I83" s="4" t="s">
        <v>181</v>
      </c>
      <c r="J83" s="4"/>
      <c r="K83" s="5"/>
      <c r="L83" s="12" t="s">
        <v>259</v>
      </c>
      <c r="M83" s="4"/>
      <c r="N83" s="4"/>
      <c r="O83" s="4"/>
      <c r="P83" s="4"/>
      <c r="Q83" s="4"/>
      <c r="R83" s="4"/>
      <c r="S83" s="4"/>
      <c r="T83" s="4"/>
      <c r="U83" s="5"/>
    </row>
    <row r="84" spans="2:21" x14ac:dyDescent="0.25">
      <c r="B84" s="8">
        <v>179</v>
      </c>
      <c r="C84" s="304">
        <v>600</v>
      </c>
      <c r="D84" s="314">
        <f>B84/C84</f>
        <v>0.29833333333333334</v>
      </c>
      <c r="E84" s="304" t="s">
        <v>305</v>
      </c>
      <c r="F84" s="7"/>
      <c r="G84" s="8">
        <v>301.94</v>
      </c>
      <c r="H84" s="314">
        <f>G84/600</f>
        <v>0.50323333333333331</v>
      </c>
      <c r="I84" s="304" t="s">
        <v>306</v>
      </c>
      <c r="J84" s="304"/>
      <c r="K84" s="7"/>
      <c r="L84" s="8">
        <v>21.7</v>
      </c>
      <c r="M84" s="304" t="s">
        <v>307</v>
      </c>
      <c r="N84" s="304"/>
      <c r="O84" s="304"/>
      <c r="P84" s="304"/>
      <c r="Q84" s="304"/>
      <c r="R84" s="304"/>
      <c r="S84" s="304"/>
      <c r="T84" s="304"/>
      <c r="U84" s="7"/>
    </row>
    <row r="85" spans="2:21" x14ac:dyDescent="0.25">
      <c r="B85" s="8"/>
      <c r="C85" s="304"/>
      <c r="D85" s="304">
        <v>0.24</v>
      </c>
      <c r="E85" s="304" t="s">
        <v>308</v>
      </c>
      <c r="F85" s="7"/>
      <c r="G85" s="8">
        <v>25.95</v>
      </c>
      <c r="H85" s="315">
        <f>G85/18</f>
        <v>1.4416666666666667</v>
      </c>
      <c r="I85" s="304" t="s">
        <v>309</v>
      </c>
      <c r="J85" s="304"/>
      <c r="K85" s="7"/>
      <c r="L85" s="8">
        <v>22.35</v>
      </c>
      <c r="M85" s="304" t="s">
        <v>310</v>
      </c>
      <c r="N85" s="304"/>
      <c r="O85" s="304"/>
      <c r="P85" s="304"/>
      <c r="Q85" s="304"/>
      <c r="R85" s="304"/>
      <c r="S85" s="304"/>
      <c r="T85" s="304"/>
      <c r="U85" s="7"/>
    </row>
    <row r="86" spans="2:21" x14ac:dyDescent="0.25">
      <c r="B86" s="8"/>
      <c r="C86" s="304"/>
      <c r="D86" s="304">
        <v>0.66</v>
      </c>
      <c r="E86" s="304" t="s">
        <v>311</v>
      </c>
      <c r="F86" s="7"/>
      <c r="G86" s="316" t="s">
        <v>312</v>
      </c>
      <c r="H86" s="304"/>
      <c r="I86" s="304"/>
      <c r="J86" s="304"/>
      <c r="K86" s="7"/>
      <c r="L86" s="8"/>
      <c r="M86" s="304"/>
      <c r="N86" s="304"/>
      <c r="O86" s="304"/>
      <c r="P86" s="304"/>
      <c r="Q86" s="304"/>
      <c r="R86" s="304"/>
      <c r="S86" s="304"/>
      <c r="T86" s="304"/>
      <c r="U86" s="7"/>
    </row>
    <row r="87" spans="2:21" x14ac:dyDescent="0.25">
      <c r="B87" s="8"/>
      <c r="C87" s="304"/>
      <c r="D87" s="304"/>
      <c r="E87" s="304"/>
      <c r="F87" s="7"/>
      <c r="G87" s="8"/>
      <c r="H87" s="304"/>
      <c r="I87" s="304"/>
      <c r="J87" s="304"/>
      <c r="K87" s="7"/>
      <c r="L87" s="8"/>
      <c r="M87" s="304"/>
      <c r="N87" s="304"/>
      <c r="O87" s="304"/>
      <c r="P87" s="304"/>
      <c r="Q87" s="304"/>
      <c r="R87" s="304"/>
      <c r="S87" s="304"/>
      <c r="T87" s="304"/>
      <c r="U87" s="7"/>
    </row>
    <row r="88" spans="2:21" x14ac:dyDescent="0.25">
      <c r="B88" s="9"/>
      <c r="C88" s="10"/>
      <c r="D88" s="312">
        <f>AVERAGE(D84:D86)</f>
        <v>0.39944444444444444</v>
      </c>
      <c r="E88" s="10" t="s">
        <v>258</v>
      </c>
      <c r="F88" s="11"/>
      <c r="G88" s="9"/>
      <c r="H88" s="312">
        <f>AVERAGE(H84:H85)</f>
        <v>0.97245000000000004</v>
      </c>
      <c r="I88" s="10" t="s">
        <v>258</v>
      </c>
      <c r="J88" s="10"/>
      <c r="K88" s="11"/>
      <c r="L88" s="313">
        <f>AVERAGE(L84:L85)</f>
        <v>22.024999999999999</v>
      </c>
      <c r="M88" s="10" t="s">
        <v>259</v>
      </c>
      <c r="N88" s="10"/>
      <c r="O88" s="10"/>
      <c r="P88" s="10"/>
      <c r="Q88" s="10"/>
      <c r="R88" s="10"/>
      <c r="S88" s="10"/>
      <c r="T88" s="10"/>
      <c r="U88" s="11"/>
    </row>
    <row r="90" spans="2:21" x14ac:dyDescent="0.25">
      <c r="B90" s="1" t="s">
        <v>126</v>
      </c>
      <c r="G90" s="1" t="s">
        <v>313</v>
      </c>
      <c r="L90" s="1" t="s">
        <v>314</v>
      </c>
    </row>
    <row r="91" spans="2:21" x14ac:dyDescent="0.25">
      <c r="B91" s="12" t="s">
        <v>286</v>
      </c>
      <c r="C91" s="4" t="s">
        <v>258</v>
      </c>
      <c r="D91" s="4" t="s">
        <v>181</v>
      </c>
      <c r="E91" s="4"/>
      <c r="F91" s="5"/>
      <c r="G91" s="12" t="s">
        <v>286</v>
      </c>
      <c r="H91" s="4" t="s">
        <v>258</v>
      </c>
      <c r="I91" s="4" t="s">
        <v>181</v>
      </c>
      <c r="J91" s="4"/>
      <c r="K91" s="5"/>
      <c r="L91" s="12" t="s">
        <v>259</v>
      </c>
      <c r="M91" s="4" t="s">
        <v>181</v>
      </c>
      <c r="N91" s="4"/>
      <c r="O91" s="4"/>
      <c r="P91" s="4"/>
      <c r="Q91" s="4"/>
      <c r="R91" s="4"/>
      <c r="S91" s="4"/>
      <c r="T91" s="4"/>
      <c r="U91" s="5"/>
    </row>
    <row r="92" spans="2:21" x14ac:dyDescent="0.25">
      <c r="B92" s="8">
        <f>34.9</f>
        <v>34.9</v>
      </c>
      <c r="C92" s="314">
        <f>B92/25</f>
        <v>1.3959999999999999</v>
      </c>
      <c r="D92" s="304" t="s">
        <v>315</v>
      </c>
      <c r="E92" s="304"/>
      <c r="F92" s="7"/>
      <c r="G92" s="8">
        <v>199</v>
      </c>
      <c r="H92" s="304">
        <f>G92/1000</f>
        <v>0.19900000000000001</v>
      </c>
      <c r="I92" s="304" t="s">
        <v>316</v>
      </c>
      <c r="J92" s="304"/>
      <c r="K92" s="7"/>
      <c r="L92" s="8">
        <v>179</v>
      </c>
      <c r="M92" s="304" t="s">
        <v>317</v>
      </c>
      <c r="N92" s="304"/>
      <c r="O92" s="304"/>
      <c r="P92" s="304"/>
      <c r="Q92" s="304"/>
      <c r="R92" s="304"/>
      <c r="S92" s="304"/>
      <c r="T92" s="304"/>
      <c r="U92" s="7"/>
    </row>
    <row r="93" spans="2:21" x14ac:dyDescent="0.25">
      <c r="B93" s="8">
        <v>27</v>
      </c>
      <c r="C93" s="304">
        <f>B93/25</f>
        <v>1.08</v>
      </c>
      <c r="D93" s="304" t="s">
        <v>318</v>
      </c>
      <c r="E93" s="304"/>
      <c r="F93" s="7"/>
      <c r="G93" s="8">
        <v>9.9</v>
      </c>
      <c r="H93" s="304">
        <f>G93/25</f>
        <v>0.39600000000000002</v>
      </c>
      <c r="I93" s="304" t="s">
        <v>319</v>
      </c>
      <c r="J93" s="304"/>
      <c r="K93" s="7"/>
      <c r="L93" s="8"/>
      <c r="M93" s="304"/>
      <c r="N93" s="304"/>
      <c r="O93" s="304"/>
      <c r="P93" s="304"/>
      <c r="Q93" s="304"/>
      <c r="R93" s="304"/>
      <c r="S93" s="304"/>
      <c r="T93" s="304"/>
      <c r="U93" s="7"/>
    </row>
    <row r="94" spans="2:21" x14ac:dyDescent="0.25">
      <c r="B94" s="8"/>
      <c r="C94" s="304"/>
      <c r="D94" s="304"/>
      <c r="E94" s="304"/>
      <c r="F94" s="7"/>
      <c r="G94" s="8"/>
      <c r="H94" s="304"/>
      <c r="I94" s="304"/>
      <c r="J94" s="304"/>
      <c r="K94" s="7"/>
      <c r="L94" s="8"/>
      <c r="M94" s="304"/>
      <c r="N94" s="304"/>
      <c r="O94" s="304"/>
      <c r="P94" s="304"/>
      <c r="Q94" s="304"/>
      <c r="R94" s="304"/>
      <c r="S94" s="304"/>
      <c r="T94" s="304"/>
      <c r="U94" s="7"/>
    </row>
    <row r="95" spans="2:21" x14ac:dyDescent="0.25">
      <c r="B95" s="9"/>
      <c r="C95" s="312">
        <f>AVERAGE(C92:C93)</f>
        <v>1.238</v>
      </c>
      <c r="D95" s="10" t="s">
        <v>258</v>
      </c>
      <c r="E95" s="10"/>
      <c r="F95" s="11"/>
      <c r="G95" s="9"/>
      <c r="H95" s="312">
        <f>AVERAGE(H92,H93)</f>
        <v>0.29749999999999999</v>
      </c>
      <c r="I95" s="10" t="s">
        <v>258</v>
      </c>
      <c r="J95" s="10"/>
      <c r="K95" s="11"/>
      <c r="L95" s="317">
        <f>L92</f>
        <v>179</v>
      </c>
      <c r="M95" s="10" t="s">
        <v>259</v>
      </c>
      <c r="N95" s="10"/>
      <c r="O95" s="10"/>
      <c r="P95" s="10"/>
      <c r="Q95" s="10"/>
      <c r="R95" s="10"/>
      <c r="S95" s="10"/>
      <c r="T95" s="10"/>
      <c r="U95" s="11"/>
    </row>
    <row r="97" spans="2:21" x14ac:dyDescent="0.25">
      <c r="B97" s="1" t="s">
        <v>374</v>
      </c>
      <c r="G97" s="1" t="s">
        <v>377</v>
      </c>
      <c r="L97" s="1" t="s">
        <v>381</v>
      </c>
    </row>
    <row r="98" spans="2:21" x14ac:dyDescent="0.25">
      <c r="B98" s="12" t="s">
        <v>286</v>
      </c>
      <c r="C98" s="4" t="s">
        <v>285</v>
      </c>
      <c r="D98" s="4" t="s">
        <v>258</v>
      </c>
      <c r="E98" s="4" t="s">
        <v>181</v>
      </c>
      <c r="F98" s="5"/>
      <c r="G98" s="12" t="s">
        <v>258</v>
      </c>
      <c r="H98" s="4" t="s">
        <v>181</v>
      </c>
      <c r="I98" s="4"/>
      <c r="J98" s="4"/>
      <c r="K98" s="5"/>
      <c r="L98" s="12" t="s">
        <v>383</v>
      </c>
      <c r="M98" s="4" t="s">
        <v>384</v>
      </c>
      <c r="N98" s="4" t="s">
        <v>258</v>
      </c>
      <c r="O98" s="4" t="s">
        <v>181</v>
      </c>
      <c r="P98" s="4"/>
      <c r="Q98" s="4"/>
      <c r="R98" s="4"/>
      <c r="S98" s="4"/>
      <c r="T98" s="4"/>
      <c r="U98" s="5"/>
    </row>
    <row r="99" spans="2:21" x14ac:dyDescent="0.25">
      <c r="B99" s="8">
        <v>307</v>
      </c>
      <c r="C99" s="304">
        <v>333</v>
      </c>
      <c r="D99" s="314">
        <f>B99/C99</f>
        <v>0.92192192192192191</v>
      </c>
      <c r="E99" s="304" t="s">
        <v>375</v>
      </c>
      <c r="F99" s="7"/>
      <c r="G99" s="8">
        <f>9.05/1000</f>
        <v>9.0500000000000008E-3</v>
      </c>
      <c r="H99" s="304" t="s">
        <v>378</v>
      </c>
      <c r="I99" s="304"/>
      <c r="J99" s="304"/>
      <c r="K99" s="7"/>
      <c r="L99" s="8">
        <v>23.5</v>
      </c>
      <c r="M99" s="304">
        <v>185</v>
      </c>
      <c r="N99" s="304">
        <f>L99/M99</f>
        <v>0.12702702702702703</v>
      </c>
      <c r="O99" s="304" t="s">
        <v>382</v>
      </c>
      <c r="P99" s="304"/>
      <c r="Q99" s="304"/>
      <c r="R99" s="304"/>
      <c r="S99" s="304"/>
      <c r="T99" s="304"/>
      <c r="U99" s="7"/>
    </row>
    <row r="100" spans="2:21" x14ac:dyDescent="0.25">
      <c r="B100" s="8">
        <v>178.9</v>
      </c>
      <c r="C100" s="304">
        <v>250</v>
      </c>
      <c r="D100" s="314">
        <f>B100/C100</f>
        <v>0.71560000000000001</v>
      </c>
      <c r="E100" s="304" t="s">
        <v>376</v>
      </c>
      <c r="F100" s="7"/>
      <c r="G100" s="8">
        <f>7.4/1000</f>
        <v>7.4000000000000003E-3</v>
      </c>
      <c r="H100" s="304" t="s">
        <v>380</v>
      </c>
      <c r="I100" s="304"/>
      <c r="J100" s="304"/>
      <c r="K100" s="7"/>
      <c r="L100" s="8">
        <v>17.600000000000001</v>
      </c>
      <c r="M100" s="304">
        <v>138</v>
      </c>
      <c r="N100" s="304">
        <f>L100/M100</f>
        <v>0.12753623188405799</v>
      </c>
      <c r="O100" s="304" t="s">
        <v>385</v>
      </c>
      <c r="P100" s="304"/>
      <c r="Q100" s="304"/>
      <c r="R100" s="304"/>
      <c r="S100" s="304"/>
      <c r="T100" s="304"/>
      <c r="U100" s="7"/>
    </row>
    <row r="101" spans="2:21" x14ac:dyDescent="0.25">
      <c r="B101" s="8"/>
      <c r="C101" s="304"/>
      <c r="D101" s="314"/>
      <c r="E101" s="304"/>
      <c r="F101" s="7"/>
      <c r="G101" s="8"/>
      <c r="H101" s="304"/>
      <c r="I101" s="304"/>
      <c r="J101" s="304"/>
      <c r="K101" s="7"/>
      <c r="L101" s="8"/>
      <c r="M101" s="304"/>
      <c r="N101" s="304"/>
      <c r="O101" s="304"/>
      <c r="P101" s="304"/>
      <c r="Q101" s="304"/>
      <c r="R101" s="304"/>
      <c r="S101" s="304"/>
      <c r="T101" s="304"/>
      <c r="U101" s="7"/>
    </row>
    <row r="102" spans="2:21" x14ac:dyDescent="0.25">
      <c r="B102" s="9"/>
      <c r="C102" s="10"/>
      <c r="D102" s="312">
        <f>AVERAGE(D99:D100)</f>
        <v>0.81876096096096096</v>
      </c>
      <c r="E102" s="10"/>
      <c r="F102" s="11"/>
      <c r="G102" s="313">
        <f>AVERAGE(G99:G100)</f>
        <v>8.2249999999999997E-3</v>
      </c>
      <c r="H102" s="10"/>
      <c r="I102" s="10"/>
      <c r="J102" s="10"/>
      <c r="K102" s="11"/>
      <c r="L102" s="9"/>
      <c r="M102" s="10"/>
      <c r="N102" s="312">
        <f>AVERAGE(N99:N100)</f>
        <v>0.1272816294555425</v>
      </c>
      <c r="O102" s="10"/>
      <c r="P102" s="10"/>
      <c r="Q102" s="10"/>
      <c r="R102" s="10"/>
      <c r="S102" s="10"/>
      <c r="T102" s="10"/>
      <c r="U102" s="11"/>
    </row>
    <row r="104" spans="2:21" x14ac:dyDescent="0.25">
      <c r="B104" s="1" t="s">
        <v>386</v>
      </c>
      <c r="G104" s="1" t="s">
        <v>389</v>
      </c>
      <c r="L104" s="1" t="s">
        <v>395</v>
      </c>
    </row>
    <row r="105" spans="2:21" x14ac:dyDescent="0.25">
      <c r="B105" s="12" t="s">
        <v>286</v>
      </c>
      <c r="C105" s="4" t="s">
        <v>285</v>
      </c>
      <c r="D105" s="4" t="s">
        <v>258</v>
      </c>
      <c r="E105" s="4" t="s">
        <v>181</v>
      </c>
      <c r="F105" s="5"/>
      <c r="G105" s="12" t="s">
        <v>286</v>
      </c>
      <c r="H105" s="4" t="s">
        <v>285</v>
      </c>
      <c r="I105" s="4" t="s">
        <v>258</v>
      </c>
      <c r="J105" s="4" t="s">
        <v>181</v>
      </c>
      <c r="K105" s="5"/>
      <c r="L105" s="12" t="s">
        <v>258</v>
      </c>
      <c r="M105" s="4" t="s">
        <v>181</v>
      </c>
      <c r="N105" s="4"/>
      <c r="O105" s="4"/>
      <c r="P105" s="4"/>
      <c r="Q105" s="4"/>
      <c r="R105" s="4"/>
      <c r="S105" s="4"/>
      <c r="T105" s="4"/>
      <c r="U105" s="5"/>
    </row>
    <row r="106" spans="2:21" x14ac:dyDescent="0.25">
      <c r="B106" s="8">
        <v>5</v>
      </c>
      <c r="C106" s="304">
        <v>12.6</v>
      </c>
      <c r="D106" s="304">
        <f>B106/C106</f>
        <v>0.39682539682539686</v>
      </c>
      <c r="E106" s="304" t="s">
        <v>387</v>
      </c>
      <c r="F106" s="7"/>
      <c r="G106" s="8">
        <v>20.9</v>
      </c>
      <c r="H106" s="304">
        <v>2.2999999999999998</v>
      </c>
      <c r="I106" s="304">
        <f>G106/H106</f>
        <v>9.0869565217391308</v>
      </c>
      <c r="J106" s="304" t="s">
        <v>390</v>
      </c>
      <c r="K106" s="7"/>
      <c r="L106" s="8">
        <f>AVERAGE(6.2,9.3)/1000</f>
        <v>7.7499999999999999E-3</v>
      </c>
      <c r="M106" s="304" t="s">
        <v>393</v>
      </c>
      <c r="N106" s="304"/>
      <c r="O106" s="304"/>
      <c r="P106" s="304"/>
      <c r="Q106" s="304"/>
      <c r="R106" s="304"/>
      <c r="S106" s="304"/>
      <c r="T106" s="304"/>
      <c r="U106" s="7"/>
    </row>
    <row r="107" spans="2:21" x14ac:dyDescent="0.25">
      <c r="B107" s="8">
        <v>5.5</v>
      </c>
      <c r="C107" s="304">
        <v>16</v>
      </c>
      <c r="D107" s="304">
        <f>B107/C107</f>
        <v>0.34375</v>
      </c>
      <c r="E107" s="304" t="s">
        <v>388</v>
      </c>
      <c r="F107" s="7"/>
      <c r="G107" s="8">
        <v>35.5</v>
      </c>
      <c r="H107" s="304">
        <v>4.03</v>
      </c>
      <c r="I107" s="304">
        <f>G107/H107</f>
        <v>8.808933002481389</v>
      </c>
      <c r="J107" s="304" t="s">
        <v>391</v>
      </c>
      <c r="K107" s="7"/>
      <c r="L107" s="8">
        <f>6.32/1000</f>
        <v>6.3200000000000001E-3</v>
      </c>
      <c r="M107" s="304" t="s">
        <v>394</v>
      </c>
      <c r="N107" s="304"/>
      <c r="O107" s="304"/>
      <c r="P107" s="304"/>
      <c r="Q107" s="304"/>
      <c r="R107" s="304"/>
      <c r="S107" s="304"/>
      <c r="T107" s="304"/>
      <c r="U107" s="7"/>
    </row>
    <row r="108" spans="2:21" x14ac:dyDescent="0.25">
      <c r="B108" s="8"/>
      <c r="C108" s="304"/>
      <c r="D108" s="304"/>
      <c r="E108" s="304"/>
      <c r="F108" s="7"/>
      <c r="G108" s="8"/>
      <c r="H108" s="304"/>
      <c r="I108" s="304"/>
      <c r="J108" s="304"/>
      <c r="K108" s="7"/>
      <c r="L108" s="8"/>
      <c r="M108" s="304"/>
      <c r="N108" s="304"/>
      <c r="O108" s="304"/>
      <c r="P108" s="304"/>
      <c r="Q108" s="304"/>
      <c r="R108" s="304"/>
      <c r="S108" s="304"/>
      <c r="T108" s="304"/>
      <c r="U108" s="7"/>
    </row>
    <row r="109" spans="2:21" x14ac:dyDescent="0.25">
      <c r="B109" s="9"/>
      <c r="C109" s="10"/>
      <c r="D109" s="312">
        <f>AVERAGE(D106:D107)</f>
        <v>0.37028769841269843</v>
      </c>
      <c r="E109" s="10"/>
      <c r="F109" s="11"/>
      <c r="G109" s="9"/>
      <c r="H109" s="10"/>
      <c r="I109" s="312">
        <f>AVERAGE(I106:I107)</f>
        <v>8.9479447621102608</v>
      </c>
      <c r="J109" s="10"/>
      <c r="K109" s="11"/>
      <c r="L109" s="313">
        <f>AVERAGE(L106:L107)</f>
        <v>7.0349999999999996E-3</v>
      </c>
      <c r="M109" s="10"/>
      <c r="N109" s="10"/>
      <c r="O109" s="10"/>
      <c r="P109" s="10"/>
      <c r="Q109" s="10"/>
      <c r="R109" s="10"/>
      <c r="S109" s="10"/>
      <c r="T109" s="10"/>
      <c r="U109" s="11"/>
    </row>
    <row r="111" spans="2:21" x14ac:dyDescent="0.25">
      <c r="B111" s="1" t="s">
        <v>398</v>
      </c>
    </row>
    <row r="112" spans="2:21" x14ac:dyDescent="0.25">
      <c r="B112" s="12" t="s">
        <v>286</v>
      </c>
      <c r="C112" s="4" t="s">
        <v>285</v>
      </c>
      <c r="D112" s="4" t="s">
        <v>258</v>
      </c>
      <c r="E112" s="4"/>
      <c r="F112" s="4"/>
      <c r="G112" s="4"/>
      <c r="H112" s="4"/>
      <c r="I112" s="4"/>
      <c r="J112" s="4"/>
      <c r="K112" s="4"/>
      <c r="L112" s="4"/>
      <c r="M112" s="4"/>
      <c r="N112" s="4"/>
      <c r="O112" s="4"/>
      <c r="P112" s="4"/>
      <c r="Q112" s="4"/>
      <c r="R112" s="4"/>
      <c r="S112" s="4"/>
      <c r="T112" s="4"/>
      <c r="U112" s="5"/>
    </row>
    <row r="113" spans="2:21" x14ac:dyDescent="0.25">
      <c r="B113" s="8">
        <v>1.3</v>
      </c>
      <c r="C113" s="304">
        <v>3.9</v>
      </c>
      <c r="D113" s="304">
        <f>B113/C113</f>
        <v>0.33333333333333337</v>
      </c>
      <c r="E113" s="304" t="s">
        <v>396</v>
      </c>
      <c r="F113" s="304"/>
      <c r="G113" s="304"/>
      <c r="H113" s="304"/>
      <c r="I113" s="304"/>
      <c r="J113" s="304" t="s">
        <v>399</v>
      </c>
      <c r="K113" s="304"/>
      <c r="L113" s="304"/>
      <c r="M113" s="304"/>
      <c r="N113" s="304"/>
      <c r="O113" s="304"/>
      <c r="P113" s="304"/>
      <c r="Q113" s="304"/>
      <c r="R113" s="304"/>
      <c r="S113" s="304"/>
      <c r="T113" s="304"/>
      <c r="U113" s="7"/>
    </row>
    <row r="114" spans="2:21" x14ac:dyDescent="0.25">
      <c r="B114" s="8">
        <v>1.5</v>
      </c>
      <c r="C114" s="304">
        <v>2.8</v>
      </c>
      <c r="D114" s="304">
        <f>B114/C114</f>
        <v>0.5357142857142857</v>
      </c>
      <c r="E114" s="304" t="s">
        <v>397</v>
      </c>
      <c r="F114" s="304"/>
      <c r="G114" s="304"/>
      <c r="H114" s="304"/>
      <c r="I114" s="304"/>
      <c r="J114" s="304" t="s">
        <v>400</v>
      </c>
      <c r="K114" s="304"/>
      <c r="L114" s="304"/>
      <c r="M114" s="304"/>
      <c r="N114" s="304"/>
      <c r="O114" s="304"/>
      <c r="P114" s="304"/>
      <c r="Q114" s="304"/>
      <c r="R114" s="304"/>
      <c r="S114" s="304"/>
      <c r="T114" s="304"/>
      <c r="U114" s="7"/>
    </row>
    <row r="115" spans="2:21" x14ac:dyDescent="0.25">
      <c r="B115" s="8"/>
      <c r="C115" s="304"/>
      <c r="D115" s="304"/>
      <c r="E115" s="304"/>
      <c r="F115" s="304"/>
      <c r="G115" s="304"/>
      <c r="H115" s="304"/>
      <c r="I115" s="304"/>
      <c r="J115" s="304"/>
      <c r="K115" s="304"/>
      <c r="L115" s="304"/>
      <c r="M115" s="304"/>
      <c r="N115" s="304"/>
      <c r="O115" s="304"/>
      <c r="P115" s="304"/>
      <c r="Q115" s="304"/>
      <c r="R115" s="304"/>
      <c r="S115" s="304"/>
      <c r="T115" s="304"/>
      <c r="U115" s="7"/>
    </row>
    <row r="116" spans="2:21" x14ac:dyDescent="0.25">
      <c r="B116" s="9"/>
      <c r="C116" s="10"/>
      <c r="D116" s="312">
        <f>AVERAGE(D113:D114)</f>
        <v>0.43452380952380953</v>
      </c>
      <c r="E116" s="10"/>
      <c r="F116" s="10"/>
      <c r="G116" s="10"/>
      <c r="H116" s="10"/>
      <c r="I116" s="318"/>
      <c r="J116" s="10"/>
      <c r="K116" s="10"/>
      <c r="L116" s="10"/>
      <c r="M116" s="10"/>
      <c r="N116" s="10"/>
      <c r="O116" s="10"/>
      <c r="P116" s="10"/>
      <c r="Q116" s="10"/>
      <c r="R116" s="10"/>
      <c r="S116" s="10"/>
      <c r="T116" s="10"/>
      <c r="U116" s="11"/>
    </row>
  </sheetData>
  <sheetProtection algorithmName="SHA-512" hashValue="U9dD4Ej/r1EBlAyg0gOLLpFh740loyUfys614oubgogUj883zMqOBCCkrTx990Hr54Sea8DYX32YtQp9iomZ3w==" saltValue="x0qLtPNaN2ulbkpRW/QifA==" spinCount="100000" sheet="1" objects="1" scenarios="1"/>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EF52CF0336B814589FC466C0E6F1A53" ma:contentTypeVersion="9" ma:contentTypeDescription="Create a new document." ma:contentTypeScope="" ma:versionID="7f7af795da3179a5b8364ef64e059510">
  <xsd:schema xmlns:xsd="http://www.w3.org/2001/XMLSchema" xmlns:xs="http://www.w3.org/2001/XMLSchema" xmlns:p="http://schemas.microsoft.com/office/2006/metadata/properties" xmlns:ns2="92d14182-6900-4d9c-8b2c-a16de9684e3a" xmlns:ns3="dd17c863-b980-4034-8785-a3a217db16f2" targetNamespace="http://schemas.microsoft.com/office/2006/metadata/properties" ma:root="true" ma:fieldsID="dd40f16e4c7bc5910de30da2d529693f" ns2:_="" ns3:_="">
    <xsd:import namespace="92d14182-6900-4d9c-8b2c-a16de9684e3a"/>
    <xsd:import namespace="dd17c863-b980-4034-8785-a3a217db16f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d14182-6900-4d9c-8b2c-a16de9684e3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d17c863-b980-4034-8785-a3a217db16f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7C9C094-0EEC-40E2-96DD-E0E1B4562195}">
  <ds:schemaRefs>
    <ds:schemaRef ds:uri="http://schemas.microsoft.com/sharepoint/v3/contenttype/forms"/>
  </ds:schemaRefs>
</ds:datastoreItem>
</file>

<file path=customXml/itemProps2.xml><?xml version="1.0" encoding="utf-8"?>
<ds:datastoreItem xmlns:ds="http://schemas.openxmlformats.org/officeDocument/2006/customXml" ds:itemID="{2E378A25-475A-4376-81F0-C76B923295C9}"/>
</file>

<file path=customXml/itemProps3.xml><?xml version="1.0" encoding="utf-8"?>
<ds:datastoreItem xmlns:ds="http://schemas.openxmlformats.org/officeDocument/2006/customXml" ds:itemID="{1F40E349-F417-476E-A75B-AB8163132397}">
  <ds:schemaRefs>
    <ds:schemaRef ds:uri="c8c5d088-65db-415a-8af6-a4f59c5e15b4"/>
    <ds:schemaRef ds:uri="http://purl.org/dc/terms/"/>
    <ds:schemaRef ds:uri="http://schemas.openxmlformats.org/package/2006/metadata/core-properties"/>
    <ds:schemaRef ds:uri="86002abf-0135-4628-b553-3f5675d32bd5"/>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Info-sivu</vt:lpstr>
      <vt:lpstr>Laskentasivu</vt:lpstr>
      <vt:lpstr>Tulokset</vt:lpstr>
      <vt:lpstr>Päästökertoimet</vt:lpstr>
      <vt:lpstr>Kustannukset</vt:lpstr>
      <vt:lpstr>Aputaulukko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Kamarainen, Kaisa</dc:creator>
  <cp:keywords/>
  <dc:description/>
  <cp:lastModifiedBy>Lahtinen, Maiju</cp:lastModifiedBy>
  <cp:revision/>
  <dcterms:created xsi:type="dcterms:W3CDTF">2021-10-18T07:14:52Z</dcterms:created>
  <dcterms:modified xsi:type="dcterms:W3CDTF">2022-09-15T09:04:55Z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0x0101008EF52CF0336B814589FC466C0E6F1A53</vt:lpwstr>
  </property>
  <property fmtid="{D5CDD505-2E9C-101B-9397-08002B2CF9AE}" pid="3" name="MediaServiceImageTags">
    <vt:lpwstr/>
  </property>
</Properties>
</file>